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AGROEMPRESA\ON AGROEMPRESA 8\Difusion\"/>
    </mc:Choice>
  </mc:AlternateContent>
  <bookViews>
    <workbookView xWindow="0" yWindow="0" windowWidth="20400" windowHeight="7620" activeTab="1"/>
  </bookViews>
  <sheets>
    <sheet name="CLASE I (ARS)" sheetId="2" r:id="rId1"/>
    <sheet name="CLASE II (DL)" sheetId="3" r:id="rId2"/>
  </sheets>
  <definedNames>
    <definedName name="_xlnm.Print_Area" localSheetId="0">'CLASE I (ARS)'!$E$1:$Q$56</definedName>
    <definedName name="_xlnm.Print_Area" localSheetId="1">'CLASE II (DL)'!$E$1:$Q$38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L12" i="2" s="1"/>
  <c r="R37" i="2" l="1"/>
  <c r="R38" i="2"/>
  <c r="R39" i="2"/>
  <c r="R40" i="2"/>
  <c r="R41" i="2"/>
  <c r="R42" i="2"/>
  <c r="R43" i="2"/>
  <c r="J35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C39" i="2"/>
  <c r="D39" i="2" s="1"/>
  <c r="P39" i="2"/>
  <c r="J39" i="2" s="1"/>
  <c r="C40" i="2"/>
  <c r="D40" i="2" s="1"/>
  <c r="P40" i="2"/>
  <c r="J40" i="2" s="1"/>
  <c r="C41" i="2"/>
  <c r="D41" i="2" s="1"/>
  <c r="P41" i="2"/>
  <c r="J41" i="2" s="1"/>
  <c r="C42" i="2"/>
  <c r="D42" i="2" s="1"/>
  <c r="P42" i="2"/>
  <c r="J42" i="2" s="1"/>
  <c r="C43" i="2"/>
  <c r="D43" i="2" s="1"/>
  <c r="P43" i="2"/>
  <c r="J43" i="2" s="1"/>
  <c r="C44" i="2"/>
  <c r="D44" i="2" s="1"/>
  <c r="P44" i="2"/>
  <c r="J44" i="2" s="1"/>
  <c r="C45" i="2"/>
  <c r="D45" i="2"/>
  <c r="P45" i="2"/>
  <c r="J45" i="2" s="1"/>
  <c r="C37" i="2"/>
  <c r="D37" i="2" s="1"/>
  <c r="C38" i="2"/>
  <c r="D38" i="2" s="1"/>
  <c r="P37" i="2"/>
  <c r="J37" i="2" s="1"/>
  <c r="P38" i="2"/>
  <c r="J38" i="2" s="1"/>
  <c r="L30" i="3" l="1"/>
  <c r="R29" i="3"/>
  <c r="J28" i="3"/>
  <c r="C28" i="3"/>
  <c r="D28" i="3" s="1"/>
  <c r="J27" i="3"/>
  <c r="C27" i="3"/>
  <c r="D27" i="3" s="1"/>
  <c r="M26" i="3"/>
  <c r="M27" i="3" s="1"/>
  <c r="M28" i="3" s="1"/>
  <c r="J26" i="3"/>
  <c r="R25" i="3"/>
  <c r="O25" i="3"/>
  <c r="N25" i="3"/>
  <c r="T25" i="3" s="1"/>
  <c r="J25" i="3"/>
  <c r="J24" i="3" s="1"/>
  <c r="F25" i="3"/>
  <c r="B25" i="3"/>
  <c r="C26" i="3" s="1"/>
  <c r="D26" i="3" s="1"/>
  <c r="M24" i="3"/>
  <c r="K19" i="3"/>
  <c r="K18" i="3"/>
  <c r="K17" i="3"/>
  <c r="P14" i="3"/>
  <c r="H14" i="3"/>
  <c r="E25" i="3" s="1"/>
  <c r="L48" i="2"/>
  <c r="R47" i="2"/>
  <c r="P46" i="2"/>
  <c r="J46" i="2" s="1"/>
  <c r="C46" i="2"/>
  <c r="D46" i="2" s="1"/>
  <c r="P36" i="2"/>
  <c r="J36" i="2" s="1"/>
  <c r="C36" i="2"/>
  <c r="D36" i="2" s="1"/>
  <c r="M35" i="2"/>
  <c r="M36" i="2" s="1"/>
  <c r="R34" i="2"/>
  <c r="O34" i="2"/>
  <c r="N34" i="2"/>
  <c r="T34" i="2" s="1"/>
  <c r="J34" i="2"/>
  <c r="F34" i="2"/>
  <c r="G34" i="2" s="1"/>
  <c r="B34" i="2"/>
  <c r="C35" i="2" s="1"/>
  <c r="M33" i="2"/>
  <c r="J33" i="2"/>
  <c r="K28" i="2"/>
  <c r="K27" i="2"/>
  <c r="K17" i="2"/>
  <c r="H14" i="2"/>
  <c r="E34" i="2" s="1"/>
  <c r="M37" i="2" l="1"/>
  <c r="M38" i="2" s="1"/>
  <c r="M39" i="2" s="1"/>
  <c r="M40" i="2" s="1"/>
  <c r="M41" i="2" s="1"/>
  <c r="M42" i="2" s="1"/>
  <c r="M43" i="2" s="1"/>
  <c r="M44" i="2" s="1"/>
  <c r="M45" i="2" s="1"/>
  <c r="M46" i="2" s="1"/>
  <c r="K29" i="2"/>
  <c r="D29" i="3"/>
  <c r="L14" i="3" s="1"/>
  <c r="K20" i="3"/>
  <c r="F26" i="3"/>
  <c r="G25" i="3"/>
  <c r="D35" i="2"/>
  <c r="D47" i="2" s="1"/>
  <c r="L14" i="2" s="1"/>
  <c r="C47" i="2"/>
  <c r="F35" i="2"/>
  <c r="H26" i="3" l="1"/>
  <c r="K26" i="3" s="1"/>
  <c r="L17" i="3" s="1"/>
  <c r="F27" i="3"/>
  <c r="G26" i="3"/>
  <c r="H35" i="2"/>
  <c r="K35" i="2" s="1"/>
  <c r="L17" i="2" s="1"/>
  <c r="F36" i="2"/>
  <c r="F37" i="2" s="1"/>
  <c r="G35" i="2"/>
  <c r="G37" i="2" l="1"/>
  <c r="F38" i="2"/>
  <c r="F39" i="2" s="1"/>
  <c r="H37" i="2"/>
  <c r="K37" i="2" s="1"/>
  <c r="L19" i="2" s="1"/>
  <c r="M19" i="2" s="1"/>
  <c r="I26" i="3"/>
  <c r="R26" i="3" s="1"/>
  <c r="J17" i="3"/>
  <c r="N26" i="3"/>
  <c r="E26" i="3"/>
  <c r="F28" i="3"/>
  <c r="G27" i="3"/>
  <c r="H27" i="3"/>
  <c r="K27" i="3" s="1"/>
  <c r="L18" i="3" s="1"/>
  <c r="M18" i="3" s="1"/>
  <c r="M17" i="3"/>
  <c r="N35" i="2"/>
  <c r="I35" i="2"/>
  <c r="R35" i="2" s="1"/>
  <c r="E35" i="2"/>
  <c r="J17" i="2"/>
  <c r="H36" i="2"/>
  <c r="K36" i="2" s="1"/>
  <c r="L18" i="2" s="1"/>
  <c r="M18" i="2" s="1"/>
  <c r="G36" i="2"/>
  <c r="M17" i="2"/>
  <c r="G39" i="2" l="1"/>
  <c r="H39" i="2"/>
  <c r="K39" i="2" s="1"/>
  <c r="L21" i="2" s="1"/>
  <c r="M21" i="2" s="1"/>
  <c r="F40" i="2"/>
  <c r="N37" i="2"/>
  <c r="G38" i="2"/>
  <c r="H38" i="2"/>
  <c r="K38" i="2" s="1"/>
  <c r="L20" i="2" s="1"/>
  <c r="M20" i="2" s="1"/>
  <c r="E37" i="2"/>
  <c r="I37" i="2"/>
  <c r="O26" i="3"/>
  <c r="T26" i="3"/>
  <c r="I27" i="3"/>
  <c r="R27" i="3" s="1"/>
  <c r="E27" i="3"/>
  <c r="J18" i="3"/>
  <c r="N27" i="3"/>
  <c r="H28" i="3"/>
  <c r="K28" i="3" s="1"/>
  <c r="L19" i="3" s="1"/>
  <c r="G28" i="3"/>
  <c r="E36" i="2"/>
  <c r="I36" i="2"/>
  <c r="R36" i="2" s="1"/>
  <c r="N36" i="2"/>
  <c r="T35" i="2"/>
  <c r="O35" i="2"/>
  <c r="O37" i="2" l="1"/>
  <c r="T37" i="2"/>
  <c r="G40" i="2"/>
  <c r="F41" i="2"/>
  <c r="H40" i="2"/>
  <c r="K40" i="2" s="1"/>
  <c r="L22" i="2" s="1"/>
  <c r="M22" i="2" s="1"/>
  <c r="N39" i="2"/>
  <c r="E39" i="2"/>
  <c r="I39" i="2"/>
  <c r="E38" i="2"/>
  <c r="I38" i="2"/>
  <c r="N38" i="2"/>
  <c r="M19" i="3"/>
  <c r="L20" i="3"/>
  <c r="M20" i="3" s="1"/>
  <c r="O27" i="3"/>
  <c r="T27" i="3"/>
  <c r="N28" i="3"/>
  <c r="I28" i="3"/>
  <c r="R28" i="3" s="1"/>
  <c r="E28" i="3"/>
  <c r="H11" i="3"/>
  <c r="J19" i="3"/>
  <c r="T36" i="2"/>
  <c r="O36" i="2"/>
  <c r="O39" i="2" l="1"/>
  <c r="T39" i="2"/>
  <c r="O38" i="2"/>
  <c r="T38" i="2"/>
  <c r="G41" i="2"/>
  <c r="H41" i="2"/>
  <c r="K41" i="2" s="1"/>
  <c r="L23" i="2" s="1"/>
  <c r="M23" i="2" s="1"/>
  <c r="F42" i="2"/>
  <c r="I40" i="2"/>
  <c r="N40" i="2"/>
  <c r="E40" i="2"/>
  <c r="O28" i="3"/>
  <c r="O30" i="3" s="1"/>
  <c r="T28" i="3"/>
  <c r="O40" i="2" l="1"/>
  <c r="T40" i="2"/>
  <c r="H42" i="2"/>
  <c r="K42" i="2" s="1"/>
  <c r="L24" i="2" s="1"/>
  <c r="M24" i="2" s="1"/>
  <c r="G42" i="2"/>
  <c r="F43" i="2"/>
  <c r="I41" i="2"/>
  <c r="E41" i="2"/>
  <c r="N41" i="2"/>
  <c r="L10" i="3"/>
  <c r="L12" i="3" s="1"/>
  <c r="O41" i="2" l="1"/>
  <c r="T41" i="2"/>
  <c r="H43" i="2"/>
  <c r="K43" i="2" s="1"/>
  <c r="L25" i="2" s="1"/>
  <c r="M25" i="2" s="1"/>
  <c r="G43" i="2"/>
  <c r="F44" i="2"/>
  <c r="N42" i="2"/>
  <c r="E42" i="2"/>
  <c r="I42" i="2"/>
  <c r="S27" i="3"/>
  <c r="U27" i="3" s="1"/>
  <c r="V27" i="3" s="1"/>
  <c r="S23" i="3"/>
  <c r="L11" i="3"/>
  <c r="S26" i="3"/>
  <c r="U26" i="3" s="1"/>
  <c r="V26" i="3" s="1"/>
  <c r="S25" i="3"/>
  <c r="U25" i="3" s="1"/>
  <c r="V25" i="3" s="1"/>
  <c r="S29" i="3"/>
  <c r="S28" i="3"/>
  <c r="U28" i="3" s="1"/>
  <c r="V28" i="3" s="1"/>
  <c r="O42" i="2" l="1"/>
  <c r="T42" i="2"/>
  <c r="H44" i="2"/>
  <c r="K44" i="2" s="1"/>
  <c r="L26" i="2" s="1"/>
  <c r="M26" i="2" s="1"/>
  <c r="G44" i="2"/>
  <c r="F45" i="2"/>
  <c r="E43" i="2"/>
  <c r="I43" i="2"/>
  <c r="N43" i="2"/>
  <c r="V30" i="3"/>
  <c r="U30" i="3"/>
  <c r="O43" i="2" l="1"/>
  <c r="T43" i="2"/>
  <c r="G45" i="2"/>
  <c r="H45" i="2"/>
  <c r="K45" i="2" s="1"/>
  <c r="L27" i="2" s="1"/>
  <c r="M27" i="2" s="1"/>
  <c r="N44" i="2"/>
  <c r="O44" i="2" s="1"/>
  <c r="I44" i="2"/>
  <c r="R44" i="2" s="1"/>
  <c r="E44" i="2"/>
  <c r="F46" i="2"/>
  <c r="L13" i="3"/>
  <c r="E45" i="2" l="1"/>
  <c r="I45" i="2"/>
  <c r="R45" i="2" s="1"/>
  <c r="N45" i="2"/>
  <c r="O45" i="2" s="1"/>
  <c r="H46" i="2"/>
  <c r="K46" i="2" s="1"/>
  <c r="L28" i="2" s="1"/>
  <c r="M28" i="2" s="1"/>
  <c r="G46" i="2"/>
  <c r="J27" i="2"/>
  <c r="T44" i="2"/>
  <c r="I46" i="2" l="1"/>
  <c r="R46" i="2" s="1"/>
  <c r="N46" i="2"/>
  <c r="E46" i="2"/>
  <c r="J28" i="2"/>
  <c r="H11" i="2"/>
  <c r="T45" i="2"/>
  <c r="L29" i="2"/>
  <c r="M29" i="2" s="1"/>
  <c r="T46" i="2" l="1"/>
  <c r="O46" i="2"/>
  <c r="S40" i="2" l="1"/>
  <c r="U40" i="2" s="1"/>
  <c r="V40" i="2" s="1"/>
  <c r="S37" i="2"/>
  <c r="U37" i="2" s="1"/>
  <c r="V37" i="2" s="1"/>
  <c r="S38" i="2"/>
  <c r="U38" i="2" s="1"/>
  <c r="V38" i="2" s="1"/>
  <c r="S43" i="2"/>
  <c r="U43" i="2" s="1"/>
  <c r="V43" i="2" s="1"/>
  <c r="S42" i="2"/>
  <c r="U42" i="2" s="1"/>
  <c r="V42" i="2" s="1"/>
  <c r="S39" i="2"/>
  <c r="U39" i="2" s="1"/>
  <c r="V39" i="2" s="1"/>
  <c r="S41" i="2"/>
  <c r="U41" i="2" s="1"/>
  <c r="V41" i="2" s="1"/>
  <c r="S34" i="2"/>
  <c r="U34" i="2" s="1"/>
  <c r="V34" i="2" s="1"/>
  <c r="S47" i="2"/>
  <c r="L11" i="2"/>
  <c r="S44" i="2"/>
  <c r="U44" i="2" s="1"/>
  <c r="V44" i="2" s="1"/>
  <c r="S32" i="2"/>
  <c r="S45" i="2"/>
  <c r="U45" i="2" s="1"/>
  <c r="V45" i="2" s="1"/>
  <c r="S46" i="2"/>
  <c r="U46" i="2" s="1"/>
  <c r="V46" i="2" s="1"/>
  <c r="S35" i="2"/>
  <c r="U35" i="2" s="1"/>
  <c r="V35" i="2" s="1"/>
  <c r="S36" i="2"/>
  <c r="U36" i="2" s="1"/>
  <c r="V36" i="2" s="1"/>
  <c r="O48" i="2"/>
  <c r="V48" i="2" l="1"/>
  <c r="U48" i="2"/>
  <c r="L13" i="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J35" authorId="1" shapeId="0">
      <text>
        <r>
          <rPr>
            <sz val="9"/>
            <color indexed="81"/>
            <rFont val="Tahoma"/>
            <family val="2"/>
          </rPr>
          <t>máx 73,00%</t>
        </r>
      </text>
    </comment>
    <comment ref="P35" authorId="1" shapeId="0">
      <text>
        <r>
          <rPr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V/N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precio
 a licitar</t>
        </r>
      </text>
    </comment>
  </commentList>
</comments>
</file>

<file path=xl/sharedStrings.xml><?xml version="1.0" encoding="utf-8"?>
<sst xmlns="http://schemas.openxmlformats.org/spreadsheetml/2006/main" count="80" uniqueCount="45">
  <si>
    <t>Fecha de Emisión:</t>
  </si>
  <si>
    <t>TIR:</t>
  </si>
  <si>
    <t>Moneda:</t>
  </si>
  <si>
    <t>Pesos</t>
  </si>
  <si>
    <t>Fecha de Vto:</t>
  </si>
  <si>
    <t>TNA 30 días:</t>
  </si>
  <si>
    <t>Precio de Emisión</t>
  </si>
  <si>
    <t>Cupón:</t>
  </si>
  <si>
    <t>Badlar + Margen</t>
  </si>
  <si>
    <t>TNA 90 días:</t>
  </si>
  <si>
    <t>V/N:</t>
  </si>
  <si>
    <t>Duration (meses):</t>
  </si>
  <si>
    <t>Margen a Licitar</t>
  </si>
  <si>
    <t>Fecha:</t>
  </si>
  <si>
    <t>Plazo (meses):</t>
  </si>
  <si>
    <t>Intereses:</t>
  </si>
  <si>
    <t>Fecha</t>
  </si>
  <si>
    <t>Amortizaciones</t>
  </si>
  <si>
    <t>Intereses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</si>
  <si>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</si>
  <si>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</si>
  <si>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</si>
  <si>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</si>
  <si>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</si>
  <si>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</si>
  <si>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</si>
  <si>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</si>
  <si>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</si>
  <si>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</si>
  <si>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</si>
  <si>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</si>
  <si>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</si>
  <si>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</si>
  <si>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</si>
  <si>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</si>
  <si>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</si>
  <si>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días</t>
  </si>
  <si>
    <t>meses</t>
  </si>
  <si>
    <t>Dólar Linked</t>
  </si>
  <si>
    <t>TC de Integración:</t>
  </si>
  <si>
    <t>Precio a licitar:</t>
  </si>
  <si>
    <t>Pesos a Integrar:</t>
  </si>
  <si>
    <t>ON Pyme CNV Garantizada Agroempresa Colón S.A. Serie VIII - Clase II</t>
  </si>
  <si>
    <t>ON Pyme CNV Garantizada Agroempresa Colón S.A. Serie VIII - Clase I</t>
  </si>
  <si>
    <t>Trim. (máx. 73% 1° 12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</si>
</sst>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8" formatCode="&quot;$&quot;\ #,##0.00;[Red]\-&quot;$&quot;\ #,##0.00"/>
    <numFmt numFmtId="43" formatCode="_-* #,##0.00_-;\-* #,##0.00_-;_-* &quot;-&quot;??_-;_-@_-"/>
    <numFmt numFmtId="164" formatCode="[$-409]d\-mmm\-yy;@"/>
    <numFmt numFmtId="165" formatCode="0.0000%"/>
    <numFmt numFmtId="166" formatCode="#,##0_ ;[Red]\-#,##0\ "/>
    <numFmt numFmtId="167" formatCode="&quot;$&quot;\ #,##0.0000;[Red]\-&quot;$&quot;\ #,##0.0000"/>
    <numFmt numFmtId="168" formatCode="[$-F800]dddd\,\ mmmm\ dd\,\ yyyy"/>
    <numFmt numFmtId="169" formatCode="0.00000%"/>
    <numFmt numFmtId="170" formatCode="_ * #,##0.00_ ;_ * \-#,##0.00_ ;_ * &quot;-&quot;??_ ;_ @_ "/>
    <numFmt numFmtId="171" formatCode="#,##0.000000_ ;[Red]\-#,##0.000000\ "/>
    <numFmt numFmtId="172" formatCode="_ * #,##0_ ;_ * \-#,##0_ ;_ * &quot;-&quot;??_ ;_ @_ "/>
    <numFmt numFmtId="173" formatCode="#,##0.00_ ;[Red]\-#,##0.00\ "/>
    <numFmt numFmtId="174" formatCode="#,##0.00000_ ;[Red]\-#,##0.00000\ "/>
    <numFmt numFmtId="175" formatCode="#,##0.0000;[Red]\-#,##0.0000"/>
    <numFmt numFmtId="17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theme="1" tint="0.49998474074526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b/>
      <sz val="8"/>
      <color rgb="FF00B05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 applyProtection="1"/>
    <xf numFmtId="0" fontId="2" fillId="2" borderId="0" xfId="1" applyFont="1" applyFill="1" applyProtection="1"/>
    <xf numFmtId="0" fontId="2" fillId="3" borderId="0" xfId="1" applyFont="1" applyFill="1" applyBorder="1" applyProtection="1"/>
    <xf numFmtId="0" fontId="2" fillId="3" borderId="0" xfId="1" applyFont="1" applyFill="1" applyProtection="1"/>
    <xf numFmtId="0" fontId="2" fillId="0" borderId="0" xfId="1" applyFont="1" applyFill="1" applyProtection="1"/>
    <xf numFmtId="9" fontId="2" fillId="0" borderId="0" xfId="2" applyFont="1" applyProtection="1"/>
    <xf numFmtId="0" fontId="2" fillId="0" borderId="0" xfId="1" applyFont="1" applyBorder="1" applyProtection="1"/>
    <xf numFmtId="0" fontId="5" fillId="2" borderId="4" xfId="1" applyFont="1" applyFill="1" applyBorder="1" applyAlignment="1" applyProtection="1">
      <alignment horizontal="right"/>
    </xf>
    <xf numFmtId="165" fontId="2" fillId="3" borderId="0" xfId="1" applyNumberFormat="1" applyFont="1" applyFill="1" applyBorder="1" applyProtection="1"/>
    <xf numFmtId="0" fontId="5" fillId="2" borderId="7" xfId="1" applyFont="1" applyFill="1" applyBorder="1" applyAlignment="1" applyProtection="1">
      <alignment horizontal="right"/>
    </xf>
    <xf numFmtId="14" fontId="2" fillId="0" borderId="0" xfId="1" applyNumberFormat="1" applyFont="1" applyProtection="1"/>
    <xf numFmtId="14" fontId="2" fillId="3" borderId="0" xfId="1" applyNumberFormat="1" applyFont="1" applyFill="1" applyBorder="1" applyProtection="1"/>
    <xf numFmtId="2" fontId="2" fillId="0" borderId="0" xfId="1" applyNumberFormat="1" applyFont="1" applyFill="1" applyProtection="1"/>
    <xf numFmtId="0" fontId="6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168" fontId="2" fillId="3" borderId="5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1" applyFont="1" applyAlignment="1" applyProtection="1">
      <alignment horizontal="right"/>
    </xf>
    <xf numFmtId="166" fontId="5" fillId="0" borderId="0" xfId="1" applyNumberFormat="1" applyFont="1" applyFill="1" applyBorder="1" applyProtection="1"/>
    <xf numFmtId="0" fontId="5" fillId="2" borderId="14" xfId="1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164" fontId="5" fillId="2" borderId="14" xfId="3" applyNumberFormat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15" fontId="2" fillId="2" borderId="15" xfId="1" applyNumberFormat="1" applyFont="1" applyFill="1" applyBorder="1" applyAlignment="1" applyProtection="1">
      <alignment horizontal="center"/>
    </xf>
    <xf numFmtId="4" fontId="2" fillId="0" borderId="7" xfId="3" applyNumberFormat="1" applyFont="1" applyFill="1" applyBorder="1" applyAlignment="1" applyProtection="1">
      <alignment horizontal="center"/>
    </xf>
    <xf numFmtId="4" fontId="2" fillId="0" borderId="0" xfId="3" applyNumberFormat="1" applyFont="1" applyFill="1" applyBorder="1" applyAlignment="1" applyProtection="1">
      <alignment horizontal="center"/>
    </xf>
    <xf numFmtId="4" fontId="2" fillId="0" borderId="8" xfId="1" applyNumberFormat="1" applyFont="1" applyFill="1" applyBorder="1" applyAlignment="1" applyProtection="1">
      <alignment horizontal="center"/>
    </xf>
    <xf numFmtId="169" fontId="2" fillId="0" borderId="0" xfId="2" applyNumberFormat="1" applyFont="1" applyProtection="1"/>
    <xf numFmtId="43" fontId="2" fillId="0" borderId="0" xfId="1" applyNumberFormat="1" applyFont="1" applyFill="1" applyProtection="1"/>
    <xf numFmtId="165" fontId="2" fillId="0" borderId="0" xfId="2" applyNumberFormat="1" applyFont="1" applyProtection="1"/>
    <xf numFmtId="15" fontId="5" fillId="2" borderId="14" xfId="1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14" xfId="3" applyNumberFormat="1" applyFont="1" applyFill="1" applyBorder="1" applyAlignment="1" applyProtection="1">
      <alignment horizontal="center"/>
    </xf>
    <xf numFmtId="4" fontId="5" fillId="2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right"/>
    </xf>
    <xf numFmtId="0" fontId="7" fillId="3" borderId="0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9" fillId="0" borderId="2" xfId="2" applyNumberFormat="1" applyFont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/>
    </xf>
    <xf numFmtId="40" fontId="10" fillId="0" borderId="10" xfId="1" applyNumberFormat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164" fontId="2" fillId="4" borderId="0" xfId="1" applyNumberFormat="1" applyFont="1" applyFill="1" applyAlignment="1" applyProtection="1">
      <alignment horizontal="center" vertical="center"/>
    </xf>
    <xf numFmtId="170" fontId="2" fillId="0" borderId="0" xfId="4" applyFont="1" applyAlignment="1" applyProtection="1">
      <alignment horizontal="center" vertical="center"/>
    </xf>
    <xf numFmtId="164" fontId="2" fillId="0" borderId="0" xfId="1" applyNumberFormat="1" applyFont="1" applyAlignment="1" applyProtection="1">
      <alignment horizontal="center" vertical="center"/>
    </xf>
    <xf numFmtId="168" fontId="2" fillId="0" borderId="0" xfId="1" applyNumberFormat="1" applyFont="1" applyBorder="1" applyAlignment="1" applyProtection="1">
      <alignment horizontal="center" vertical="center"/>
    </xf>
    <xf numFmtId="15" fontId="2" fillId="2" borderId="4" xfId="1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/>
    </xf>
    <xf numFmtId="38" fontId="2" fillId="2" borderId="5" xfId="1" applyNumberFormat="1" applyFont="1" applyFill="1" applyBorder="1" applyAlignment="1" applyProtection="1">
      <alignment horizontal="center" vertical="center"/>
    </xf>
    <xf numFmtId="10" fontId="9" fillId="2" borderId="5" xfId="2" applyNumberFormat="1" applyFont="1" applyFill="1" applyBorder="1" applyAlignment="1" applyProtection="1">
      <alignment horizontal="center"/>
    </xf>
    <xf numFmtId="40" fontId="2" fillId="2" borderId="5" xfId="1" applyNumberFormat="1" applyFont="1" applyFill="1" applyBorder="1" applyAlignment="1" applyProtection="1">
      <alignment horizontal="center" vertical="center"/>
    </xf>
    <xf numFmtId="38" fontId="2" fillId="2" borderId="6" xfId="1" applyNumberFormat="1" applyFont="1" applyFill="1" applyBorder="1" applyAlignment="1" applyProtection="1">
      <alignment horizontal="center" vertical="center"/>
    </xf>
    <xf numFmtId="171" fontId="7" fillId="3" borderId="0" xfId="1" applyNumberFormat="1" applyFont="1" applyFill="1" applyBorder="1" applyAlignment="1" applyProtection="1">
      <alignment horizontal="center" vertical="center"/>
    </xf>
    <xf numFmtId="171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172" fontId="2" fillId="0" borderId="0" xfId="4" applyNumberFormat="1" applyFont="1" applyAlignment="1" applyProtection="1">
      <alignment horizontal="center" vertical="center"/>
    </xf>
    <xf numFmtId="15" fontId="2" fillId="2" borderId="7" xfId="1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3" fontId="2" fillId="2" borderId="0" xfId="4" applyNumberFormat="1" applyFont="1" applyFill="1" applyBorder="1" applyAlignment="1" applyProtection="1">
      <alignment horizontal="center"/>
    </xf>
    <xf numFmtId="40" fontId="2" fillId="2" borderId="0" xfId="1" applyNumberFormat="1" applyFont="1" applyFill="1" applyBorder="1" applyAlignment="1" applyProtection="1">
      <alignment horizontal="center"/>
    </xf>
    <xf numFmtId="38" fontId="2" fillId="2" borderId="8" xfId="1" applyNumberFormat="1" applyFont="1" applyFill="1" applyBorder="1" applyAlignment="1" applyProtection="1">
      <alignment horizontal="center"/>
    </xf>
    <xf numFmtId="165" fontId="5" fillId="4" borderId="8" xfId="2" applyNumberFormat="1" applyFont="1" applyFill="1" applyBorder="1" applyAlignment="1" applyProtection="1">
      <alignment horizontal="center"/>
    </xf>
    <xf numFmtId="174" fontId="2" fillId="3" borderId="0" xfId="1" applyNumberFormat="1" applyFont="1" applyFill="1" applyAlignment="1" applyProtection="1">
      <alignment horizontal="center" vertical="center"/>
    </xf>
    <xf numFmtId="15" fontId="2" fillId="2" borderId="16" xfId="1" applyNumberFormat="1" applyFont="1" applyFill="1" applyBorder="1" applyAlignment="1" applyProtection="1">
      <alignment horizontal="center"/>
    </xf>
    <xf numFmtId="38" fontId="2" fillId="2" borderId="12" xfId="1" applyNumberFormat="1" applyFont="1" applyFill="1" applyBorder="1" applyAlignment="1" applyProtection="1">
      <alignment horizontal="center"/>
    </xf>
    <xf numFmtId="10" fontId="2" fillId="2" borderId="12" xfId="2" applyNumberFormat="1" applyFont="1" applyFill="1" applyBorder="1" applyAlignment="1" applyProtection="1">
      <alignment horizontal="center"/>
    </xf>
    <xf numFmtId="173" fontId="2" fillId="2" borderId="12" xfId="4" applyNumberFormat="1" applyFont="1" applyFill="1" applyBorder="1" applyAlignment="1" applyProtection="1">
      <alignment horizontal="center"/>
    </xf>
    <xf numFmtId="40" fontId="2" fillId="2" borderId="12" xfId="1" applyNumberFormat="1" applyFont="1" applyFill="1" applyBorder="1" applyAlignment="1" applyProtection="1">
      <alignment horizontal="center"/>
    </xf>
    <xf numFmtId="38" fontId="2" fillId="2" borderId="13" xfId="1" applyNumberFormat="1" applyFont="1" applyFill="1" applyBorder="1" applyAlignment="1" applyProtection="1">
      <alignment horizontal="center"/>
    </xf>
    <xf numFmtId="165" fontId="5" fillId="4" borderId="13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right"/>
    </xf>
    <xf numFmtId="172" fontId="2" fillId="0" borderId="0" xfId="1" applyNumberFormat="1" applyFont="1" applyProtection="1"/>
    <xf numFmtId="15" fontId="2" fillId="0" borderId="0" xfId="1" applyNumberFormat="1" applyFont="1" applyFill="1" applyBorder="1" applyAlignment="1" applyProtection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40" fontId="2" fillId="0" borderId="0" xfId="1" applyNumberFormat="1" applyFont="1" applyBorder="1" applyAlignment="1" applyProtection="1">
      <alignment horizontal="center"/>
    </xf>
    <xf numFmtId="173" fontId="2" fillId="0" borderId="0" xfId="4" applyNumberFormat="1" applyFont="1" applyBorder="1" applyAlignment="1" applyProtection="1">
      <alignment horizontal="center"/>
    </xf>
    <xf numFmtId="40" fontId="2" fillId="0" borderId="10" xfId="1" applyNumberFormat="1" applyFont="1" applyBorder="1" applyAlignment="1" applyProtection="1">
      <alignment horizontal="center"/>
    </xf>
    <xf numFmtId="38" fontId="2" fillId="0" borderId="10" xfId="1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7" xfId="1" applyNumberFormat="1" applyFont="1" applyBorder="1" applyAlignment="1" applyProtection="1">
      <alignment horizontal="center"/>
    </xf>
    <xf numFmtId="38" fontId="5" fillId="0" borderId="17" xfId="1" applyNumberFormat="1" applyFont="1" applyBorder="1" applyAlignment="1" applyProtection="1">
      <alignment horizontal="center"/>
    </xf>
    <xf numFmtId="171" fontId="2" fillId="3" borderId="0" xfId="1" applyNumberFormat="1" applyFont="1" applyFill="1" applyBorder="1" applyAlignment="1" applyProtection="1">
      <alignment horizontal="center" vertical="center"/>
    </xf>
    <xf numFmtId="15" fontId="2" fillId="2" borderId="9" xfId="1" applyNumberFormat="1" applyFont="1" applyFill="1" applyBorder="1" applyAlignment="1" applyProtection="1">
      <alignment horizontal="center"/>
    </xf>
    <xf numFmtId="43" fontId="2" fillId="0" borderId="0" xfId="5" applyFont="1" applyProtection="1"/>
    <xf numFmtId="2" fontId="2" fillId="0" borderId="0" xfId="1" applyNumberFormat="1" applyFont="1" applyProtection="1"/>
    <xf numFmtId="175" fontId="2" fillId="2" borderId="0" xfId="1" applyNumberFormat="1" applyFont="1" applyFill="1" applyBorder="1" applyAlignment="1" applyProtection="1">
      <alignment horizontal="center"/>
    </xf>
    <xf numFmtId="175" fontId="2" fillId="2" borderId="12" xfId="1" applyNumberFormat="1" applyFont="1" applyFill="1" applyBorder="1" applyAlignment="1" applyProtection="1">
      <alignment horizontal="center"/>
    </xf>
    <xf numFmtId="40" fontId="14" fillId="2" borderId="5" xfId="1" applyNumberFormat="1" applyFont="1" applyFill="1" applyBorder="1" applyAlignment="1" applyProtection="1">
      <alignment horizontal="center" vertical="center"/>
    </xf>
    <xf numFmtId="38" fontId="14" fillId="2" borderId="6" xfId="1" applyNumberFormat="1" applyFont="1" applyFill="1" applyBorder="1" applyAlignment="1" applyProtection="1">
      <alignment horizontal="center" vertical="center"/>
    </xf>
    <xf numFmtId="0" fontId="15" fillId="2" borderId="7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/>
    <xf numFmtId="0" fontId="4" fillId="2" borderId="3" xfId="1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right"/>
    </xf>
    <xf numFmtId="0" fontId="5" fillId="2" borderId="5" xfId="1" applyFont="1" applyFill="1" applyBorder="1" applyAlignment="1" applyProtection="1">
      <alignment horizontal="right"/>
    </xf>
    <xf numFmtId="10" fontId="5" fillId="2" borderId="5" xfId="1" applyNumberFormat="1" applyFont="1" applyFill="1" applyBorder="1" applyAlignment="1" applyProtection="1">
      <alignment horizontal="center"/>
    </xf>
    <xf numFmtId="10" fontId="5" fillId="2" borderId="6" xfId="1" applyNumberFormat="1" applyFont="1" applyFill="1" applyBorder="1" applyAlignment="1" applyProtection="1">
      <alignment horizontal="center"/>
    </xf>
    <xf numFmtId="10" fontId="5" fillId="2" borderId="0" xfId="1" applyNumberFormat="1" applyFont="1" applyFill="1" applyBorder="1" applyAlignment="1" applyProtection="1">
      <alignment horizontal="center"/>
    </xf>
    <xf numFmtId="10" fontId="5" fillId="2" borderId="8" xfId="1" applyNumberFormat="1" applyFont="1" applyFill="1" applyBorder="1" applyAlignment="1" applyProtection="1">
      <alignment horizontal="center"/>
    </xf>
    <xf numFmtId="0" fontId="5" fillId="2" borderId="7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166" fontId="5" fillId="4" borderId="0" xfId="1" applyNumberFormat="1" applyFont="1" applyFill="1" applyBorder="1" applyAlignment="1" applyProtection="1">
      <alignment horizontal="center"/>
      <protection locked="0"/>
    </xf>
    <xf numFmtId="166" fontId="5" fillId="4" borderId="8" xfId="1" applyNumberFormat="1" applyFont="1" applyFill="1" applyBorder="1" applyAlignment="1" applyProtection="1">
      <alignment horizontal="center"/>
      <protection locked="0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0" fontId="5" fillId="2" borderId="8" xfId="1" applyNumberFormat="1" applyFont="1" applyFill="1" applyBorder="1" applyAlignment="1" applyProtection="1">
      <alignment horizontal="center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right"/>
    </xf>
    <xf numFmtId="0" fontId="5" fillId="2" borderId="10" xfId="1" applyFont="1" applyFill="1" applyBorder="1" applyAlignment="1" applyProtection="1">
      <alignment horizontal="right"/>
    </xf>
    <xf numFmtId="2" fontId="5" fillId="2" borderId="12" xfId="1" applyNumberFormat="1" applyFont="1" applyFill="1" applyBorder="1" applyAlignment="1" applyProtection="1">
      <alignment horizontal="center"/>
    </xf>
    <xf numFmtId="2" fontId="5" fillId="2" borderId="13" xfId="1" applyNumberFormat="1" applyFont="1" applyFill="1" applyBorder="1" applyAlignment="1" applyProtection="1">
      <alignment horizontal="center"/>
    </xf>
    <xf numFmtId="0" fontId="5" fillId="0" borderId="9" xfId="1" applyFont="1" applyBorder="1" applyAlignment="1" applyProtection="1">
      <alignment horizontal="right"/>
    </xf>
    <xf numFmtId="0" fontId="5" fillId="0" borderId="10" xfId="1" applyFont="1" applyBorder="1" applyAlignment="1" applyProtection="1">
      <alignment horizontal="right"/>
    </xf>
    <xf numFmtId="8" fontId="2" fillId="0" borderId="10" xfId="1" applyNumberFormat="1" applyFont="1" applyBorder="1" applyAlignment="1" applyProtection="1">
      <alignment horizontal="center"/>
    </xf>
    <xf numFmtId="8" fontId="2" fillId="0" borderId="11" xfId="1" applyNumberFormat="1" applyFont="1" applyBorder="1" applyAlignment="1" applyProtection="1">
      <alignment horizontal="center"/>
    </xf>
    <xf numFmtId="167" fontId="6" fillId="2" borderId="0" xfId="3" applyNumberFormat="1" applyFont="1" applyFill="1" applyBorder="1" applyAlignment="1" applyProtection="1">
      <alignment horizontal="center"/>
      <protection locked="0"/>
    </xf>
    <xf numFmtId="167" fontId="6" fillId="2" borderId="8" xfId="3" applyNumberFormat="1" applyFont="1" applyFill="1" applyBorder="1" applyAlignment="1" applyProtection="1">
      <alignment horizontal="center"/>
      <protection locked="0"/>
    </xf>
    <xf numFmtId="2" fontId="5" fillId="2" borderId="0" xfId="1" applyNumberFormat="1" applyFont="1" applyFill="1" applyBorder="1" applyAlignment="1" applyProtection="1">
      <alignment horizontal="center"/>
    </xf>
    <xf numFmtId="2" fontId="5" fillId="2" borderId="8" xfId="1" applyNumberFormat="1" applyFont="1" applyFill="1" applyBorder="1" applyAlignment="1" applyProtection="1">
      <alignment horizontal="center"/>
    </xf>
    <xf numFmtId="0" fontId="12" fillId="2" borderId="7" xfId="1" applyFont="1" applyFill="1" applyBorder="1" applyAlignment="1" applyProtection="1">
      <alignment horizontal="right"/>
    </xf>
    <xf numFmtId="0" fontId="12" fillId="2" borderId="0" xfId="1" applyFont="1" applyFill="1" applyBorder="1" applyAlignment="1" applyProtection="1">
      <alignment horizontal="right"/>
    </xf>
    <xf numFmtId="165" fontId="12" fillId="4" borderId="0" xfId="2" applyNumberFormat="1" applyFont="1" applyFill="1" applyBorder="1" applyAlignment="1" applyProtection="1">
      <alignment horizontal="center"/>
      <protection locked="0"/>
    </xf>
    <xf numFmtId="165" fontId="12" fillId="4" borderId="8" xfId="2" applyNumberFormat="1" applyFont="1" applyFill="1" applyBorder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0" fontId="15" fillId="0" borderId="9" xfId="1" applyFont="1" applyBorder="1" applyAlignment="1" applyProtection="1">
      <alignment horizontal="right"/>
    </xf>
    <xf numFmtId="0" fontId="15" fillId="0" borderId="10" xfId="1" applyFont="1" applyBorder="1" applyAlignment="1" applyProtection="1">
      <alignment horizontal="right"/>
    </xf>
    <xf numFmtId="8" fontId="16" fillId="0" borderId="10" xfId="1" applyNumberFormat="1" applyFont="1" applyBorder="1" applyAlignment="1" applyProtection="1">
      <alignment horizontal="center"/>
    </xf>
    <xf numFmtId="8" fontId="16" fillId="0" borderId="11" xfId="1" applyNumberFormat="1" applyFont="1" applyBorder="1" applyAlignment="1" applyProtection="1">
      <alignment horizontal="center"/>
    </xf>
    <xf numFmtId="167" fontId="15" fillId="2" borderId="0" xfId="3" applyNumberFormat="1" applyFont="1" applyFill="1" applyBorder="1" applyAlignment="1" applyProtection="1">
      <alignment horizontal="center"/>
      <protection locked="0"/>
    </xf>
    <xf numFmtId="167" fontId="15" fillId="2" borderId="8" xfId="3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Alignment="1" applyProtection="1">
      <alignment horizontal="center" vertical="center"/>
    </xf>
    <xf numFmtId="178" fontId="2" fillId="0" borderId="0" xfId="5" applyNumberFormat="1" applyFont="1" applyProtection="1"/>
    <xf numFmtId="40" fontId="2" fillId="2" borderId="0" xfId="1" applyNumberFormat="1" applyFont="1" applyFill="1" applyBorder="1" applyAlignment="1" applyProtection="1">
      <alignment horizontal="center" vertical="center"/>
    </xf>
    <xf numFmtId="165" fontId="17" fillId="2" borderId="0" xfId="2" applyNumberFormat="1" applyFont="1" applyFill="1" applyBorder="1" applyAlignment="1" applyProtection="1">
      <alignment horizontal="center"/>
    </xf>
    <xf numFmtId="165" fontId="2" fillId="2" borderId="0" xfId="2" applyNumberFormat="1" applyFont="1" applyFill="1" applyBorder="1" applyAlignment="1" applyProtection="1">
      <alignment horizontal="center"/>
    </xf>
    <xf numFmtId="165" fontId="2" fillId="2" borderId="12" xfId="2" applyNumberFormat="1" applyFont="1" applyFill="1" applyBorder="1" applyAlignment="1" applyProtection="1">
      <alignment horizontal="center"/>
    </xf>
  </cellXfs>
  <cellStyles count="6">
    <cellStyle name="Millares" xfId="5" builtinId="3"/>
    <cellStyle name="Millares 2" xfId="4"/>
    <cellStyle name="Normal" xfId="0" builtinId="0"/>
    <cellStyle name="Normal 2" xfId="1"/>
    <cellStyle name="Normal_Macro Flujos Última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49</xdr:row>
      <xdr:rowOff>38100</xdr:rowOff>
    </xdr:from>
    <xdr:to>
      <xdr:col>15</xdr:col>
      <xdr:colOff>28576</xdr:colOff>
      <xdr:row>54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66676</xdr:rowOff>
    </xdr:from>
    <xdr:to>
      <xdr:col>10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4961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123825</xdr:rowOff>
    </xdr:from>
    <xdr:to>
      <xdr:col>12</xdr:col>
      <xdr:colOff>742949</xdr:colOff>
      <xdr:row>6</xdr:row>
      <xdr:rowOff>4498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28" t="10999" r="33510" b="15012"/>
        <a:stretch/>
      </xdr:blipFill>
      <xdr:spPr>
        <a:xfrm>
          <a:off x="9010650" y="266700"/>
          <a:ext cx="1600199" cy="595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31</xdr:row>
      <xdr:rowOff>38100</xdr:rowOff>
    </xdr:from>
    <xdr:to>
      <xdr:col>15</xdr:col>
      <xdr:colOff>28576</xdr:colOff>
      <xdr:row>36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482917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66676</xdr:rowOff>
    </xdr:from>
    <xdr:to>
      <xdr:col>10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4961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9526</xdr:colOff>
      <xdr:row>1</xdr:row>
      <xdr:rowOff>123825</xdr:rowOff>
    </xdr:from>
    <xdr:to>
      <xdr:col>12</xdr:col>
      <xdr:colOff>752475</xdr:colOff>
      <xdr:row>6</xdr:row>
      <xdr:rowOff>4498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28" t="10999" r="33510" b="15012"/>
        <a:stretch/>
      </xdr:blipFill>
      <xdr:spPr>
        <a:xfrm>
          <a:off x="9020176" y="266700"/>
          <a:ext cx="1600199" cy="595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20"/>
  <sheetViews>
    <sheetView showGridLines="0" zoomScaleNormal="100" zoomScaleSheetLayoutView="130" workbookViewId="0">
      <selection activeCell="P13" sqref="P13:Q13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3.42578125" style="1" bestFit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96" t="s">
        <v>43</v>
      </c>
      <c r="H8" s="97"/>
      <c r="I8" s="97"/>
      <c r="J8" s="97"/>
      <c r="K8" s="97"/>
      <c r="L8" s="97"/>
      <c r="M8" s="97"/>
      <c r="N8" s="97"/>
      <c r="O8" s="97"/>
      <c r="P8" s="98"/>
      <c r="Q8" s="9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8" t="s">
        <v>0</v>
      </c>
      <c r="H10" s="100">
        <v>44917</v>
      </c>
      <c r="I10" s="101"/>
      <c r="J10" s="102" t="s">
        <v>1</v>
      </c>
      <c r="K10" s="103"/>
      <c r="L10" s="104">
        <f>XIRR(O34:O46,E34:E46)</f>
        <v>0.93095747232437143</v>
      </c>
      <c r="M10" s="105"/>
      <c r="N10" s="102" t="s">
        <v>2</v>
      </c>
      <c r="O10" s="103"/>
      <c r="P10" s="104" t="s">
        <v>3</v>
      </c>
      <c r="Q10" s="105"/>
      <c r="R10" s="9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G11" s="10" t="s">
        <v>4</v>
      </c>
      <c r="H11" s="112">
        <f>+G46</f>
        <v>46013</v>
      </c>
      <c r="I11" s="113"/>
      <c r="J11" s="108" t="s">
        <v>5</v>
      </c>
      <c r="K11" s="109"/>
      <c r="L11" s="106">
        <f>+(($L$10+1)^(0.0833333333333)-1)*12</f>
        <v>0.67639135119781368</v>
      </c>
      <c r="M11" s="107"/>
      <c r="N11" s="108" t="s">
        <v>6</v>
      </c>
      <c r="O11" s="109"/>
      <c r="P11" s="106">
        <v>1</v>
      </c>
      <c r="Q11" s="11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11"/>
      <c r="D12" s="11"/>
      <c r="G12" s="10" t="s">
        <v>7</v>
      </c>
      <c r="H12" s="106" t="s">
        <v>8</v>
      </c>
      <c r="I12" s="107"/>
      <c r="J12" s="108" t="s">
        <v>9</v>
      </c>
      <c r="K12" s="109"/>
      <c r="L12" s="106">
        <f>+(($L$10+1)^(0.25)-1)*4</f>
        <v>0.71523311499461073</v>
      </c>
      <c r="M12" s="107"/>
      <c r="N12" s="108" t="s">
        <v>10</v>
      </c>
      <c r="O12" s="109"/>
      <c r="P12" s="110">
        <v>450000000</v>
      </c>
      <c r="Q12" s="111"/>
      <c r="S12" s="12"/>
      <c r="U12" s="1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G13" s="14"/>
      <c r="H13" s="125"/>
      <c r="I13" s="126"/>
      <c r="J13" s="108" t="s">
        <v>11</v>
      </c>
      <c r="K13" s="109"/>
      <c r="L13" s="127">
        <f>+(V48/U48)*12</f>
        <v>15.838826835215993</v>
      </c>
      <c r="M13" s="128"/>
      <c r="N13" s="129" t="s">
        <v>12</v>
      </c>
      <c r="O13" s="130"/>
      <c r="P13" s="131">
        <v>0.02</v>
      </c>
      <c r="Q13" s="132"/>
      <c r="S13" s="12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15" t="s">
        <v>13</v>
      </c>
      <c r="H14" s="115">
        <f>+$H$10</f>
        <v>44917</v>
      </c>
      <c r="I14" s="116"/>
      <c r="J14" s="117" t="s">
        <v>14</v>
      </c>
      <c r="K14" s="118"/>
      <c r="L14" s="119">
        <f>+D47</f>
        <v>36</v>
      </c>
      <c r="M14" s="120"/>
      <c r="N14" s="121" t="s">
        <v>15</v>
      </c>
      <c r="O14" s="122"/>
      <c r="P14" s="123" t="s">
        <v>44</v>
      </c>
      <c r="Q14" s="124"/>
      <c r="S14" s="1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H15" s="16"/>
      <c r="I15" s="17"/>
      <c r="J15" s="17"/>
      <c r="M15" s="18"/>
      <c r="N15" s="19"/>
      <c r="S15" s="12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20" t="s">
        <v>16</v>
      </c>
      <c r="K16" s="21" t="s">
        <v>17</v>
      </c>
      <c r="L16" s="22" t="s">
        <v>18</v>
      </c>
      <c r="M16" s="23" t="s">
        <v>19</v>
      </c>
      <c r="N16" s="19"/>
      <c r="S16" s="12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7:145" ht="12.75" customHeight="1" x14ac:dyDescent="0.2">
      <c r="J17" s="24">
        <f>+G35</f>
        <v>45007</v>
      </c>
      <c r="K17" s="25">
        <f>+$P$12*L35/100</f>
        <v>0</v>
      </c>
      <c r="L17" s="26">
        <f>+$P$12*K35/100</f>
        <v>79363356.16438356</v>
      </c>
      <c r="M17" s="27">
        <f>SUM(K17:L17)</f>
        <v>79363356.16438356</v>
      </c>
      <c r="N17" s="19"/>
      <c r="S17" s="12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7:145" ht="12.75" customHeight="1" x14ac:dyDescent="0.2">
      <c r="J18" s="24">
        <f t="shared" ref="J18:J26" si="0">+G36</f>
        <v>45099</v>
      </c>
      <c r="K18" s="25">
        <f t="shared" ref="K18:K26" si="1">+$P$12*L36/100</f>
        <v>0</v>
      </c>
      <c r="L18" s="26">
        <f t="shared" ref="L18:L26" si="2">+$P$12*K36/100</f>
        <v>81126986.301369861</v>
      </c>
      <c r="M18" s="27">
        <f t="shared" ref="M18:M26" si="3">SUM(K18:L18)</f>
        <v>81126986.301369861</v>
      </c>
      <c r="N18" s="19"/>
      <c r="S18" s="12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7:145" ht="12.75" customHeight="1" x14ac:dyDescent="0.2">
      <c r="J19" s="24">
        <f t="shared" si="0"/>
        <v>45191</v>
      </c>
      <c r="K19" s="25">
        <f t="shared" si="1"/>
        <v>0</v>
      </c>
      <c r="L19" s="26">
        <f t="shared" si="2"/>
        <v>81126986.301369861</v>
      </c>
      <c r="M19" s="27">
        <f t="shared" si="3"/>
        <v>81126986.301369861</v>
      </c>
      <c r="N19" s="19"/>
      <c r="S19" s="12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7:145" ht="12.75" customHeight="1" x14ac:dyDescent="0.2">
      <c r="J20" s="24">
        <f t="shared" si="0"/>
        <v>45282</v>
      </c>
      <c r="K20" s="25">
        <f t="shared" si="1"/>
        <v>0</v>
      </c>
      <c r="L20" s="26">
        <f t="shared" si="2"/>
        <v>80245171.232876718</v>
      </c>
      <c r="M20" s="27">
        <f t="shared" si="3"/>
        <v>80245171.232876718</v>
      </c>
      <c r="N20" s="19"/>
      <c r="S20" s="12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7:145" ht="12.75" customHeight="1" x14ac:dyDescent="0.2">
      <c r="J21" s="24">
        <f t="shared" si="0"/>
        <v>45373</v>
      </c>
      <c r="K21" s="25">
        <f t="shared" si="1"/>
        <v>0</v>
      </c>
      <c r="L21" s="26">
        <f t="shared" si="2"/>
        <v>80245171.232876718</v>
      </c>
      <c r="M21" s="27">
        <f t="shared" si="3"/>
        <v>80245171.232876718</v>
      </c>
      <c r="N21" s="19"/>
      <c r="S21" s="12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7:145" ht="12.75" customHeight="1" x14ac:dyDescent="0.2">
      <c r="J22" s="24">
        <f t="shared" si="0"/>
        <v>45465</v>
      </c>
      <c r="K22" s="25">
        <f t="shared" si="1"/>
        <v>0</v>
      </c>
      <c r="L22" s="26">
        <f t="shared" si="2"/>
        <v>81126986.301369861</v>
      </c>
      <c r="M22" s="27">
        <f t="shared" si="3"/>
        <v>81126986.301369861</v>
      </c>
      <c r="N22" s="19"/>
      <c r="S22" s="1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7:145" ht="12.75" customHeight="1" x14ac:dyDescent="0.2">
      <c r="J23" s="24">
        <f t="shared" si="0"/>
        <v>45557</v>
      </c>
      <c r="K23" s="25">
        <f t="shared" si="1"/>
        <v>0</v>
      </c>
      <c r="L23" s="26">
        <f t="shared" si="2"/>
        <v>81126986.301369861</v>
      </c>
      <c r="M23" s="27">
        <f t="shared" si="3"/>
        <v>81126986.301369861</v>
      </c>
      <c r="N23" s="19"/>
      <c r="S23" s="12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7:145" ht="12.75" customHeight="1" x14ac:dyDescent="0.2">
      <c r="J24" s="24">
        <f t="shared" si="0"/>
        <v>45648</v>
      </c>
      <c r="K24" s="25">
        <f t="shared" si="1"/>
        <v>148500000</v>
      </c>
      <c r="L24" s="26">
        <f t="shared" si="2"/>
        <v>80245171.232876718</v>
      </c>
      <c r="M24" s="27">
        <f t="shared" si="3"/>
        <v>228745171.23287672</v>
      </c>
      <c r="N24" s="19"/>
      <c r="S24" s="12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7:145" ht="12.75" customHeight="1" x14ac:dyDescent="0.2">
      <c r="J25" s="24">
        <f t="shared" si="0"/>
        <v>45738</v>
      </c>
      <c r="K25" s="25">
        <f t="shared" si="1"/>
        <v>0</v>
      </c>
      <c r="L25" s="26">
        <f t="shared" si="2"/>
        <v>53173448.630136989</v>
      </c>
      <c r="M25" s="27">
        <f t="shared" si="3"/>
        <v>53173448.630136989</v>
      </c>
      <c r="N25" s="19"/>
      <c r="S25" s="12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7:145" ht="12.75" customHeight="1" x14ac:dyDescent="0.2">
      <c r="J26" s="24">
        <f t="shared" si="0"/>
        <v>45830</v>
      </c>
      <c r="K26" s="25">
        <f t="shared" si="1"/>
        <v>148500000</v>
      </c>
      <c r="L26" s="26">
        <f t="shared" si="2"/>
        <v>54355080.82191781</v>
      </c>
      <c r="M26" s="27">
        <f t="shared" si="3"/>
        <v>202855080.8219178</v>
      </c>
      <c r="N26" s="19"/>
      <c r="S26" s="12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7:145" ht="12.75" customHeight="1" x14ac:dyDescent="0.2">
      <c r="J27" s="24">
        <f>+G45</f>
        <v>45922</v>
      </c>
      <c r="K27" s="25">
        <f>+$P$12*L45/100</f>
        <v>0</v>
      </c>
      <c r="L27" s="26">
        <f>+$P$12*K45/100</f>
        <v>27583175.342465755</v>
      </c>
      <c r="M27" s="27">
        <f t="shared" ref="M18:M28" si="4">SUM(K27:L27)</f>
        <v>27583175.342465755</v>
      </c>
      <c r="N27" s="19"/>
      <c r="O27" s="28"/>
      <c r="S27" s="12"/>
      <c r="Y27" s="5"/>
      <c r="Z27" s="5"/>
      <c r="AA27" s="5"/>
      <c r="AB27" s="5"/>
      <c r="AC27" s="5"/>
      <c r="AD27" s="5"/>
      <c r="AE27" s="5"/>
      <c r="AF27" s="5"/>
      <c r="AG27" s="29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</row>
    <row r="28" spans="7:145" ht="12.75" customHeight="1" x14ac:dyDescent="0.2">
      <c r="J28" s="24">
        <f>+G46</f>
        <v>46013</v>
      </c>
      <c r="K28" s="25">
        <f>+$P$12*L46/100</f>
        <v>153000000</v>
      </c>
      <c r="L28" s="26">
        <f>+$P$12*K46/100</f>
        <v>27283358.219178084</v>
      </c>
      <c r="M28" s="27">
        <f t="shared" si="4"/>
        <v>180283358.21917808</v>
      </c>
      <c r="N28" s="19"/>
      <c r="P28" s="30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</row>
    <row r="29" spans="7:145" ht="12.75" customHeight="1" x14ac:dyDescent="0.2">
      <c r="J29" s="31" t="s">
        <v>19</v>
      </c>
      <c r="K29" s="32">
        <f>SUM(K17:K28)</f>
        <v>450000000</v>
      </c>
      <c r="L29" s="33">
        <f>SUM(L17:L28)</f>
        <v>807001878.08219171</v>
      </c>
      <c r="M29" s="34">
        <f>SUM(K29:L29)</f>
        <v>1257001878.0821917</v>
      </c>
      <c r="N29" s="19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</row>
    <row r="30" spans="7:145" x14ac:dyDescent="0.2">
      <c r="H30" s="35"/>
      <c r="I30" s="17"/>
      <c r="J30" s="17"/>
      <c r="M30" s="18"/>
      <c r="N30" s="19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</row>
    <row r="31" spans="7:145" ht="14.25" customHeight="1" x14ac:dyDescent="0.2">
      <c r="G31" s="139" t="s">
        <v>20</v>
      </c>
      <c r="H31" s="141" t="s">
        <v>21</v>
      </c>
      <c r="I31" s="141" t="s">
        <v>22</v>
      </c>
      <c r="J31" s="141" t="s">
        <v>23</v>
      </c>
      <c r="K31" s="133" t="s">
        <v>24</v>
      </c>
      <c r="L31" s="133" t="s">
        <v>25</v>
      </c>
      <c r="M31" s="133" t="s">
        <v>26</v>
      </c>
      <c r="N31" s="135" t="s">
        <v>27</v>
      </c>
      <c r="O31" s="137" t="s">
        <v>28</v>
      </c>
      <c r="P31" s="137" t="s">
        <v>29</v>
      </c>
      <c r="R31" s="36" t="s">
        <v>30</v>
      </c>
      <c r="S31" s="36" t="s">
        <v>31</v>
      </c>
      <c r="T31" s="36" t="s">
        <v>32</v>
      </c>
      <c r="U31" s="36" t="s">
        <v>33</v>
      </c>
      <c r="V31" s="36" t="s">
        <v>34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</row>
    <row r="32" spans="7:145" ht="11.25" customHeight="1" x14ac:dyDescent="0.2">
      <c r="G32" s="140"/>
      <c r="H32" s="142"/>
      <c r="I32" s="142"/>
      <c r="J32" s="142"/>
      <c r="K32" s="134"/>
      <c r="L32" s="134"/>
      <c r="M32" s="134"/>
      <c r="N32" s="136"/>
      <c r="O32" s="138"/>
      <c r="P32" s="138"/>
      <c r="R32" s="37"/>
      <c r="S32" s="38">
        <f>+L10</f>
        <v>0.93095747232437143</v>
      </c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</row>
    <row r="33" spans="2:145" x14ac:dyDescent="0.2">
      <c r="B33" s="1" t="s">
        <v>35</v>
      </c>
      <c r="C33" s="39" t="s">
        <v>36</v>
      </c>
      <c r="D33" s="39" t="s">
        <v>37</v>
      </c>
      <c r="G33" s="40"/>
      <c r="H33" s="41"/>
      <c r="I33" s="41"/>
      <c r="J33" s="42">
        <f>+J34</f>
        <v>0.02</v>
      </c>
      <c r="K33" s="43"/>
      <c r="L33" s="43"/>
      <c r="M33" s="44">
        <f>+M34</f>
        <v>100</v>
      </c>
      <c r="N33" s="45"/>
      <c r="O33" s="46"/>
      <c r="R33" s="37"/>
      <c r="S33" s="38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</row>
    <row r="34" spans="2:145" s="60" customFormat="1" ht="12.75" customHeight="1" x14ac:dyDescent="0.2">
      <c r="B34" s="149">
        <f>+H10</f>
        <v>44917</v>
      </c>
      <c r="C34" s="48"/>
      <c r="D34" s="48"/>
      <c r="E34" s="49">
        <f>+H14</f>
        <v>44917</v>
      </c>
      <c r="F34" s="50">
        <f>+H10</f>
        <v>44917</v>
      </c>
      <c r="G34" s="51">
        <f>+F34</f>
        <v>44917</v>
      </c>
      <c r="H34" s="52"/>
      <c r="I34" s="53"/>
      <c r="J34" s="54">
        <f>+$P$13</f>
        <v>0.02</v>
      </c>
      <c r="K34" s="53"/>
      <c r="L34" s="53"/>
      <c r="M34" s="55">
        <v>100</v>
      </c>
      <c r="N34" s="55">
        <f>+P11*100</f>
        <v>100</v>
      </c>
      <c r="O34" s="56">
        <f>-(P12*P11)</f>
        <v>-450000000</v>
      </c>
      <c r="P34" s="56"/>
      <c r="Q34" s="1"/>
      <c r="R34" s="57">
        <f t="shared" ref="R34:R47" si="5">I34/365</f>
        <v>0</v>
      </c>
      <c r="S34" s="57">
        <f t="shared" ref="S34:S47" si="6">1/(1+$L$10)^(I34/365)</f>
        <v>1</v>
      </c>
      <c r="T34" s="58">
        <f t="shared" ref="T34:T46" si="7">+N34</f>
        <v>100</v>
      </c>
      <c r="U34" s="58">
        <f t="shared" ref="U34:U46" si="8">+T34*S34</f>
        <v>100</v>
      </c>
      <c r="V34" s="58">
        <f t="shared" ref="V34:V46" si="9">+U34*R34</f>
        <v>0</v>
      </c>
      <c r="W34" s="1"/>
      <c r="X34" s="1"/>
      <c r="Y34" s="5"/>
      <c r="Z34" s="5"/>
      <c r="AA34" s="5"/>
      <c r="AB34" s="5"/>
      <c r="AC34" s="5"/>
      <c r="AD34" s="5"/>
      <c r="AE34" s="5"/>
      <c r="AF34" s="5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</row>
    <row r="35" spans="2:145" s="60" customFormat="1" ht="12.75" customHeight="1" x14ac:dyDescent="0.2">
      <c r="B35" s="47">
        <v>45007</v>
      </c>
      <c r="C35" s="61">
        <f>+B35-B34</f>
        <v>90</v>
      </c>
      <c r="D35" s="61">
        <f t="shared" ref="D35:D38" si="10">+ROUND(C35/30.5,0)</f>
        <v>3</v>
      </c>
      <c r="E35" s="49">
        <f t="shared" ref="E35:E46" si="11">+G35</f>
        <v>45007</v>
      </c>
      <c r="F35" s="50">
        <f>+F34+C35</f>
        <v>45007</v>
      </c>
      <c r="G35" s="62">
        <f t="shared" ref="G35:G46" si="12">+F35</f>
        <v>45007</v>
      </c>
      <c r="H35" s="52">
        <f t="shared" ref="H35:H38" si="13">+F35-F34</f>
        <v>90</v>
      </c>
      <c r="I35" s="52">
        <f t="shared" ref="I35:I46" si="14">+IF(G35-$H$14&lt;0,0,G35-$H$14)</f>
        <v>90</v>
      </c>
      <c r="J35" s="152">
        <f>IF((P35+$P$13)&gt;0.73,0.73,P35+$P$13)</f>
        <v>0.71525000000000005</v>
      </c>
      <c r="K35" s="64">
        <f>+J35/365*H35*M34</f>
        <v>17.636301369863013</v>
      </c>
      <c r="L35" s="151">
        <v>0</v>
      </c>
      <c r="M35" s="65">
        <f>+M34-L35</f>
        <v>100</v>
      </c>
      <c r="N35" s="91">
        <f t="shared" ref="N35:N46" si="15">+IF(G35&gt;$H$14,K35+L35,0)</f>
        <v>17.636301369863013</v>
      </c>
      <c r="O35" s="66">
        <f t="shared" ref="O35:O46" si="16">+N35*$P$12/100</f>
        <v>79363356.16438356</v>
      </c>
      <c r="P35" s="67">
        <v>0.69525000000000003</v>
      </c>
      <c r="Q35" s="1"/>
      <c r="R35" s="57">
        <f t="shared" si="5"/>
        <v>0.24657534246575341</v>
      </c>
      <c r="S35" s="57">
        <f t="shared" si="6"/>
        <v>0.85022818251577537</v>
      </c>
      <c r="T35" s="58">
        <f t="shared" si="7"/>
        <v>17.636301369863013</v>
      </c>
      <c r="U35" s="68">
        <f t="shared" si="8"/>
        <v>14.994880459999109</v>
      </c>
      <c r="V35" s="58">
        <f t="shared" si="9"/>
        <v>3.6973677846573145</v>
      </c>
      <c r="W35" s="1"/>
      <c r="X35" s="1"/>
      <c r="Y35" s="5"/>
      <c r="Z35" s="5"/>
      <c r="AA35" s="5"/>
      <c r="AB35" s="5"/>
      <c r="AC35" s="5"/>
      <c r="AD35" s="5"/>
      <c r="AE35" s="5"/>
      <c r="AF35" s="5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</row>
    <row r="36" spans="2:145" s="60" customFormat="1" ht="12.75" customHeight="1" x14ac:dyDescent="0.2">
      <c r="B36" s="47">
        <v>45099</v>
      </c>
      <c r="C36" s="61">
        <f t="shared" ref="C36:C46" si="17">+B36-B35</f>
        <v>92</v>
      </c>
      <c r="D36" s="61">
        <f t="shared" si="10"/>
        <v>3</v>
      </c>
      <c r="E36" s="49">
        <f t="shared" si="11"/>
        <v>45099</v>
      </c>
      <c r="F36" s="50">
        <f t="shared" ref="F36:F46" si="18">+F35+C36</f>
        <v>45099</v>
      </c>
      <c r="G36" s="62">
        <f t="shared" si="12"/>
        <v>45099</v>
      </c>
      <c r="H36" s="52">
        <f t="shared" si="13"/>
        <v>92</v>
      </c>
      <c r="I36" s="52">
        <f t="shared" si="14"/>
        <v>182</v>
      </c>
      <c r="J36" s="152">
        <f t="shared" ref="J36:J38" si="19">IF((P36+$P$13)&gt;0.73,0.73,P36+$P$13)</f>
        <v>0.71525000000000005</v>
      </c>
      <c r="K36" s="64">
        <f t="shared" ref="K36:K46" si="20">+J36/365*H36*M35</f>
        <v>18.028219178082193</v>
      </c>
      <c r="L36" s="151">
        <v>0</v>
      </c>
      <c r="M36" s="65">
        <f t="shared" ref="M36:M46" si="21">+M35-L36</f>
        <v>100</v>
      </c>
      <c r="N36" s="91">
        <f t="shared" si="15"/>
        <v>18.028219178082193</v>
      </c>
      <c r="O36" s="66">
        <f t="shared" si="16"/>
        <v>81126986.301369861</v>
      </c>
      <c r="P36" s="67">
        <f>+$P$35</f>
        <v>0.69525000000000003</v>
      </c>
      <c r="Q36" s="1"/>
      <c r="R36" s="57">
        <f t="shared" si="5"/>
        <v>0.49863013698630138</v>
      </c>
      <c r="S36" s="57">
        <f t="shared" si="6"/>
        <v>0.72028623452479468</v>
      </c>
      <c r="T36" s="58">
        <f t="shared" si="7"/>
        <v>18.028219178082193</v>
      </c>
      <c r="U36" s="68">
        <f t="shared" si="8"/>
        <v>12.985478106968511</v>
      </c>
      <c r="V36" s="58">
        <f t="shared" si="9"/>
        <v>6.4749507273103264</v>
      </c>
      <c r="W36" s="1"/>
      <c r="X36" s="1"/>
      <c r="Y36" s="5"/>
      <c r="Z36" s="5"/>
      <c r="AA36" s="5"/>
      <c r="AB36" s="5"/>
      <c r="AC36" s="5"/>
      <c r="AD36" s="5"/>
      <c r="AE36" s="5"/>
      <c r="AF36" s="5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</row>
    <row r="37" spans="2:145" s="60" customFormat="1" ht="12.75" customHeight="1" x14ac:dyDescent="0.2">
      <c r="B37" s="47">
        <v>45191</v>
      </c>
      <c r="C37" s="61">
        <f t="shared" ref="C37:C38" si="22">+B37-B36</f>
        <v>92</v>
      </c>
      <c r="D37" s="61">
        <f t="shared" si="10"/>
        <v>3</v>
      </c>
      <c r="E37" s="49">
        <f t="shared" ref="E37:E38" si="23">+G37</f>
        <v>45191</v>
      </c>
      <c r="F37" s="50">
        <f t="shared" ref="F37:F38" si="24">+F36+C37</f>
        <v>45191</v>
      </c>
      <c r="G37" s="62">
        <f t="shared" ref="G37:G38" si="25">+F37</f>
        <v>45191</v>
      </c>
      <c r="H37" s="52">
        <f t="shared" si="13"/>
        <v>92</v>
      </c>
      <c r="I37" s="52">
        <f t="shared" ref="I37:I38" si="26">+IF(G37-$H$14&lt;0,0,G37-$H$14)</f>
        <v>274</v>
      </c>
      <c r="J37" s="152">
        <f t="shared" si="19"/>
        <v>0.71525000000000005</v>
      </c>
      <c r="K37" s="64">
        <f t="shared" ref="K37:K38" si="27">+J37/365*H37*M36</f>
        <v>18.028219178082193</v>
      </c>
      <c r="L37" s="65">
        <v>0</v>
      </c>
      <c r="M37" s="65">
        <f t="shared" ref="M37:M38" si="28">+M36-L37</f>
        <v>100</v>
      </c>
      <c r="N37" s="91">
        <f t="shared" ref="N37:N38" si="29">+IF(G37&gt;$H$14,K37+L37,0)</f>
        <v>18.028219178082193</v>
      </c>
      <c r="O37" s="66">
        <f t="shared" ref="O37:O38" si="30">+N37*$P$12/100</f>
        <v>81126986.301369861</v>
      </c>
      <c r="P37" s="67">
        <f>+$P$35</f>
        <v>0.69525000000000003</v>
      </c>
      <c r="Q37" s="1"/>
      <c r="R37" s="57">
        <f t="shared" ref="R37:R43" si="31">I37/365</f>
        <v>0.75068493150684934</v>
      </c>
      <c r="S37" s="57">
        <f t="shared" ref="S37:S43" si="32">1/(1+$L$10)^(I37/365)</f>
        <v>0.61020355513360236</v>
      </c>
      <c r="T37" s="58">
        <f t="shared" ref="T37:T43" si="33">+N37</f>
        <v>18.028219178082193</v>
      </c>
      <c r="U37" s="68">
        <f t="shared" ref="U37:U43" si="34">+T37*S37</f>
        <v>11.000883435193545</v>
      </c>
      <c r="V37" s="58">
        <f t="shared" ref="V37:V43" si="35">+U37*R37</f>
        <v>8.2581974280631005</v>
      </c>
      <c r="W37" s="1"/>
      <c r="X37" s="1"/>
      <c r="Y37" s="5"/>
      <c r="Z37" s="5"/>
      <c r="AA37" s="5"/>
      <c r="AB37" s="5"/>
      <c r="AC37" s="5"/>
      <c r="AD37" s="5"/>
      <c r="AE37" s="5"/>
      <c r="AF37" s="5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</row>
    <row r="38" spans="2:145" s="60" customFormat="1" ht="12.75" customHeight="1" x14ac:dyDescent="0.2">
      <c r="B38" s="47">
        <v>45282</v>
      </c>
      <c r="C38" s="61">
        <f t="shared" si="22"/>
        <v>91</v>
      </c>
      <c r="D38" s="61">
        <f t="shared" si="10"/>
        <v>3</v>
      </c>
      <c r="E38" s="49">
        <f t="shared" si="23"/>
        <v>45282</v>
      </c>
      <c r="F38" s="50">
        <f t="shared" si="24"/>
        <v>45282</v>
      </c>
      <c r="G38" s="62">
        <f t="shared" si="25"/>
        <v>45282</v>
      </c>
      <c r="H38" s="52">
        <f t="shared" si="13"/>
        <v>91</v>
      </c>
      <c r="I38" s="52">
        <f t="shared" si="26"/>
        <v>365</v>
      </c>
      <c r="J38" s="152">
        <f t="shared" si="19"/>
        <v>0.71525000000000005</v>
      </c>
      <c r="K38" s="64">
        <f t="shared" si="27"/>
        <v>17.832260273972604</v>
      </c>
      <c r="L38" s="65">
        <v>0</v>
      </c>
      <c r="M38" s="65">
        <f t="shared" si="28"/>
        <v>100</v>
      </c>
      <c r="N38" s="91">
        <f t="shared" si="29"/>
        <v>17.832260273972604</v>
      </c>
      <c r="O38" s="66">
        <f t="shared" si="30"/>
        <v>80245171.232876718</v>
      </c>
      <c r="P38" s="67">
        <f>+$P$35</f>
        <v>0.69525000000000003</v>
      </c>
      <c r="Q38" s="1"/>
      <c r="R38" s="57">
        <f t="shared" si="31"/>
        <v>1</v>
      </c>
      <c r="S38" s="57">
        <f t="shared" si="32"/>
        <v>0.51787779603258666</v>
      </c>
      <c r="T38" s="58">
        <f t="shared" si="33"/>
        <v>17.832260273972604</v>
      </c>
      <c r="U38" s="68">
        <f t="shared" si="34"/>
        <v>9.2349316489643822</v>
      </c>
      <c r="V38" s="58">
        <f t="shared" si="35"/>
        <v>9.2349316489643822</v>
      </c>
      <c r="W38" s="1"/>
      <c r="X38" s="1"/>
      <c r="Y38" s="5"/>
      <c r="Z38" s="5"/>
      <c r="AA38" s="5"/>
      <c r="AB38" s="5"/>
      <c r="AC38" s="5"/>
      <c r="AD38" s="5"/>
      <c r="AE38" s="5"/>
      <c r="AF38" s="5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</row>
    <row r="39" spans="2:145" s="60" customFormat="1" ht="12.75" customHeight="1" x14ac:dyDescent="0.2">
      <c r="B39" s="47">
        <v>45373</v>
      </c>
      <c r="C39" s="61">
        <f t="shared" ref="C39:C45" si="36">+B39-B38</f>
        <v>91</v>
      </c>
      <c r="D39" s="61">
        <f t="shared" ref="D39:D45" si="37">+ROUND(C39/30.5,0)</f>
        <v>3</v>
      </c>
      <c r="E39" s="49">
        <f t="shared" ref="E39:E45" si="38">+G39</f>
        <v>45373</v>
      </c>
      <c r="F39" s="50">
        <f t="shared" ref="F39:F45" si="39">+F38+C39</f>
        <v>45373</v>
      </c>
      <c r="G39" s="62">
        <f t="shared" ref="G39:G45" si="40">+F39</f>
        <v>45373</v>
      </c>
      <c r="H39" s="52">
        <f t="shared" ref="H39:H45" si="41">+F39-F38</f>
        <v>91</v>
      </c>
      <c r="I39" s="52">
        <f t="shared" ref="I39:I45" si="42">+IF(G39-$H$14&lt;0,0,G39-$H$14)</f>
        <v>456</v>
      </c>
      <c r="J39" s="153">
        <f t="shared" ref="J39:J45" si="43">+P39+$P$13</f>
        <v>0.71525000000000005</v>
      </c>
      <c r="K39" s="64">
        <f t="shared" ref="K39:K45" si="44">+J39/365*H39*M38</f>
        <v>17.832260273972604</v>
      </c>
      <c r="L39" s="65">
        <v>0</v>
      </c>
      <c r="M39" s="65">
        <f t="shared" ref="M39:M45" si="45">+M38-L39</f>
        <v>100</v>
      </c>
      <c r="N39" s="91">
        <f t="shared" ref="N39:N45" si="46">+IF(G39&gt;$H$14,K39+L39,0)</f>
        <v>17.832260273972604</v>
      </c>
      <c r="O39" s="66">
        <f t="shared" ref="O39:O45" si="47">+N39*$P$12/100</f>
        <v>80245171.232876718</v>
      </c>
      <c r="P39" s="67">
        <f>+$P$35</f>
        <v>0.69525000000000003</v>
      </c>
      <c r="Q39" s="1"/>
      <c r="R39" s="57">
        <f t="shared" si="31"/>
        <v>1.2493150684931507</v>
      </c>
      <c r="S39" s="57">
        <f t="shared" si="32"/>
        <v>0.43952122102082541</v>
      </c>
      <c r="T39" s="58">
        <f t="shared" si="33"/>
        <v>17.832260273972604</v>
      </c>
      <c r="U39" s="68">
        <f t="shared" si="34"/>
        <v>7.8376568091775978</v>
      </c>
      <c r="V39" s="58">
        <f t="shared" si="35"/>
        <v>9.7917027533835199</v>
      </c>
      <c r="W39" s="1"/>
      <c r="X39" s="1"/>
      <c r="Y39" s="5"/>
      <c r="Z39" s="5"/>
      <c r="AA39" s="5"/>
      <c r="AB39" s="5"/>
      <c r="AC39" s="5"/>
      <c r="AD39" s="5"/>
      <c r="AE39" s="5"/>
      <c r="AF39" s="5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</row>
    <row r="40" spans="2:145" s="60" customFormat="1" ht="12.75" customHeight="1" x14ac:dyDescent="0.2">
      <c r="B40" s="47">
        <v>45465</v>
      </c>
      <c r="C40" s="61">
        <f t="shared" si="36"/>
        <v>92</v>
      </c>
      <c r="D40" s="61">
        <f t="shared" si="37"/>
        <v>3</v>
      </c>
      <c r="E40" s="49">
        <f t="shared" si="38"/>
        <v>45465</v>
      </c>
      <c r="F40" s="50">
        <f t="shared" si="39"/>
        <v>45465</v>
      </c>
      <c r="G40" s="62">
        <f t="shared" si="40"/>
        <v>45465</v>
      </c>
      <c r="H40" s="52">
        <f t="shared" si="41"/>
        <v>92</v>
      </c>
      <c r="I40" s="52">
        <f t="shared" si="42"/>
        <v>548</v>
      </c>
      <c r="J40" s="153">
        <f t="shared" si="43"/>
        <v>0.71525000000000005</v>
      </c>
      <c r="K40" s="64">
        <f t="shared" si="44"/>
        <v>18.028219178082193</v>
      </c>
      <c r="L40" s="65">
        <v>0</v>
      </c>
      <c r="M40" s="65">
        <f t="shared" si="45"/>
        <v>100</v>
      </c>
      <c r="N40" s="91">
        <f t="shared" si="46"/>
        <v>18.028219178082193</v>
      </c>
      <c r="O40" s="66">
        <f t="shared" si="47"/>
        <v>81126986.301369861</v>
      </c>
      <c r="P40" s="67">
        <f>+$P$35</f>
        <v>0.69525000000000003</v>
      </c>
      <c r="Q40" s="1"/>
      <c r="R40" s="57">
        <f t="shared" si="31"/>
        <v>1.5013698630136987</v>
      </c>
      <c r="S40" s="57">
        <f t="shared" si="32"/>
        <v>0.37234837869768733</v>
      </c>
      <c r="T40" s="58">
        <f t="shared" si="33"/>
        <v>18.028219178082193</v>
      </c>
      <c r="U40" s="68">
        <f t="shared" si="34"/>
        <v>6.7127781817654579</v>
      </c>
      <c r="V40" s="58">
        <f t="shared" si="35"/>
        <v>10.078362859198551</v>
      </c>
      <c r="W40" s="1"/>
      <c r="X40" s="1"/>
      <c r="Y40" s="5"/>
      <c r="Z40" s="5"/>
      <c r="AA40" s="5"/>
      <c r="AB40" s="5"/>
      <c r="AC40" s="5"/>
      <c r="AD40" s="5"/>
      <c r="AE40" s="5"/>
      <c r="AF40" s="5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</row>
    <row r="41" spans="2:145" s="60" customFormat="1" ht="12.75" customHeight="1" x14ac:dyDescent="0.2">
      <c r="B41" s="47">
        <v>45557</v>
      </c>
      <c r="C41" s="61">
        <f t="shared" si="36"/>
        <v>92</v>
      </c>
      <c r="D41" s="61">
        <f t="shared" si="37"/>
        <v>3</v>
      </c>
      <c r="E41" s="49">
        <f t="shared" si="38"/>
        <v>45557</v>
      </c>
      <c r="F41" s="50">
        <f t="shared" si="39"/>
        <v>45557</v>
      </c>
      <c r="G41" s="62">
        <f t="shared" si="40"/>
        <v>45557</v>
      </c>
      <c r="H41" s="52">
        <f t="shared" si="41"/>
        <v>92</v>
      </c>
      <c r="I41" s="52">
        <f t="shared" si="42"/>
        <v>640</v>
      </c>
      <c r="J41" s="153">
        <f t="shared" si="43"/>
        <v>0.71525000000000005</v>
      </c>
      <c r="K41" s="64">
        <f t="shared" si="44"/>
        <v>18.028219178082193</v>
      </c>
      <c r="L41" s="65">
        <v>0</v>
      </c>
      <c r="M41" s="65">
        <f t="shared" si="45"/>
        <v>100</v>
      </c>
      <c r="N41" s="91">
        <f t="shared" si="46"/>
        <v>18.028219178082193</v>
      </c>
      <c r="O41" s="66">
        <f t="shared" si="47"/>
        <v>81126986.301369861</v>
      </c>
      <c r="P41" s="67">
        <f>+$P$35</f>
        <v>0.69525000000000003</v>
      </c>
      <c r="Q41" s="1"/>
      <c r="R41" s="57">
        <f t="shared" si="31"/>
        <v>1.7534246575342465</v>
      </c>
      <c r="S41" s="57">
        <f t="shared" si="32"/>
        <v>0.31544168628942537</v>
      </c>
      <c r="T41" s="58">
        <f t="shared" si="33"/>
        <v>18.028219178082193</v>
      </c>
      <c r="U41" s="68">
        <f t="shared" si="34"/>
        <v>5.6868518583296055</v>
      </c>
      <c r="V41" s="58">
        <f t="shared" si="35"/>
        <v>9.9714662721395815</v>
      </c>
      <c r="W41" s="1"/>
      <c r="X41" s="1"/>
      <c r="Y41" s="5"/>
      <c r="Z41" s="5"/>
      <c r="AA41" s="5"/>
      <c r="AB41" s="5"/>
      <c r="AC41" s="5"/>
      <c r="AD41" s="5"/>
      <c r="AE41" s="5"/>
      <c r="AF41" s="5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</row>
    <row r="42" spans="2:145" s="60" customFormat="1" ht="12.75" customHeight="1" x14ac:dyDescent="0.2">
      <c r="B42" s="47">
        <v>45648</v>
      </c>
      <c r="C42" s="61">
        <f t="shared" si="36"/>
        <v>91</v>
      </c>
      <c r="D42" s="61">
        <f t="shared" si="37"/>
        <v>3</v>
      </c>
      <c r="E42" s="49">
        <f t="shared" si="38"/>
        <v>45648</v>
      </c>
      <c r="F42" s="50">
        <f t="shared" si="39"/>
        <v>45648</v>
      </c>
      <c r="G42" s="62">
        <f t="shared" si="40"/>
        <v>45648</v>
      </c>
      <c r="H42" s="52">
        <f t="shared" si="41"/>
        <v>91</v>
      </c>
      <c r="I42" s="52">
        <f t="shared" si="42"/>
        <v>731</v>
      </c>
      <c r="J42" s="153">
        <f t="shared" si="43"/>
        <v>0.71525000000000005</v>
      </c>
      <c r="K42" s="64">
        <f t="shared" si="44"/>
        <v>17.832260273972604</v>
      </c>
      <c r="L42" s="65">
        <v>33</v>
      </c>
      <c r="M42" s="65">
        <f t="shared" si="45"/>
        <v>67</v>
      </c>
      <c r="N42" s="91">
        <f t="shared" si="46"/>
        <v>50.832260273972608</v>
      </c>
      <c r="O42" s="66">
        <f t="shared" si="47"/>
        <v>228745171.23287675</v>
      </c>
      <c r="P42" s="67">
        <f>+$P$35</f>
        <v>0.69525000000000003</v>
      </c>
      <c r="Q42" s="1"/>
      <c r="R42" s="57">
        <f t="shared" si="31"/>
        <v>2.0027397260273974</v>
      </c>
      <c r="S42" s="57">
        <f t="shared" si="32"/>
        <v>0.26771434531646232</v>
      </c>
      <c r="T42" s="58">
        <f t="shared" si="33"/>
        <v>50.832260273972608</v>
      </c>
      <c r="U42" s="68">
        <f t="shared" si="34"/>
        <v>13.608525280202592</v>
      </c>
      <c r="V42" s="58">
        <f t="shared" si="35"/>
        <v>27.254334191309852</v>
      </c>
      <c r="W42" s="1"/>
      <c r="X42" s="1"/>
      <c r="Y42" s="5"/>
      <c r="Z42" s="5"/>
      <c r="AA42" s="5"/>
      <c r="AB42" s="5"/>
      <c r="AC42" s="5"/>
      <c r="AD42" s="5"/>
      <c r="AE42" s="5"/>
      <c r="AF42" s="5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</row>
    <row r="43" spans="2:145" s="60" customFormat="1" ht="12.75" customHeight="1" x14ac:dyDescent="0.2">
      <c r="B43" s="47">
        <v>45738</v>
      </c>
      <c r="C43" s="61">
        <f t="shared" si="36"/>
        <v>90</v>
      </c>
      <c r="D43" s="61">
        <f t="shared" si="37"/>
        <v>3</v>
      </c>
      <c r="E43" s="49">
        <f t="shared" si="38"/>
        <v>45738</v>
      </c>
      <c r="F43" s="50">
        <f t="shared" si="39"/>
        <v>45738</v>
      </c>
      <c r="G43" s="62">
        <f t="shared" si="40"/>
        <v>45738</v>
      </c>
      <c r="H43" s="52">
        <f t="shared" si="41"/>
        <v>90</v>
      </c>
      <c r="I43" s="52">
        <f t="shared" si="42"/>
        <v>821</v>
      </c>
      <c r="J43" s="153">
        <f t="shared" si="43"/>
        <v>0.71525000000000005</v>
      </c>
      <c r="K43" s="64">
        <f t="shared" si="44"/>
        <v>11.816321917808219</v>
      </c>
      <c r="L43" s="65">
        <v>0</v>
      </c>
      <c r="M43" s="65">
        <f t="shared" si="45"/>
        <v>67</v>
      </c>
      <c r="N43" s="91">
        <f t="shared" si="46"/>
        <v>11.816321917808219</v>
      </c>
      <c r="O43" s="66">
        <f t="shared" si="47"/>
        <v>53173448.630136989</v>
      </c>
      <c r="P43" s="67">
        <f>+$P$35</f>
        <v>0.69525000000000003</v>
      </c>
      <c r="Q43" s="1"/>
      <c r="R43" s="57">
        <f t="shared" si="31"/>
        <v>2.2493150684931509</v>
      </c>
      <c r="S43" s="57">
        <f t="shared" si="32"/>
        <v>0.22761828125181649</v>
      </c>
      <c r="T43" s="58">
        <f t="shared" si="33"/>
        <v>11.816321917808219</v>
      </c>
      <c r="U43" s="68">
        <f t="shared" si="34"/>
        <v>2.689610885649675</v>
      </c>
      <c r="V43" s="58">
        <f t="shared" si="35"/>
        <v>6.0497822934750225</v>
      </c>
      <c r="W43" s="1"/>
      <c r="X43" s="1"/>
      <c r="Y43" s="5"/>
      <c r="Z43" s="5"/>
      <c r="AA43" s="5"/>
      <c r="AB43" s="5"/>
      <c r="AC43" s="5"/>
      <c r="AD43" s="5"/>
      <c r="AE43" s="5"/>
      <c r="AF43" s="5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</row>
    <row r="44" spans="2:145" s="60" customFormat="1" ht="12.75" customHeight="1" x14ac:dyDescent="0.2">
      <c r="B44" s="47">
        <v>45830</v>
      </c>
      <c r="C44" s="61">
        <f t="shared" si="36"/>
        <v>92</v>
      </c>
      <c r="D44" s="61">
        <f t="shared" si="37"/>
        <v>3</v>
      </c>
      <c r="E44" s="49">
        <f t="shared" si="38"/>
        <v>45830</v>
      </c>
      <c r="F44" s="50">
        <f t="shared" si="39"/>
        <v>45830</v>
      </c>
      <c r="G44" s="62">
        <f t="shared" si="40"/>
        <v>45830</v>
      </c>
      <c r="H44" s="52">
        <f t="shared" si="41"/>
        <v>92</v>
      </c>
      <c r="I44" s="52">
        <f t="shared" si="42"/>
        <v>913</v>
      </c>
      <c r="J44" s="153">
        <f t="shared" si="43"/>
        <v>0.71525000000000005</v>
      </c>
      <c r="K44" s="64">
        <f t="shared" si="44"/>
        <v>12.078906849315068</v>
      </c>
      <c r="L44" s="65">
        <v>33</v>
      </c>
      <c r="M44" s="65">
        <f t="shared" si="45"/>
        <v>34</v>
      </c>
      <c r="N44" s="91">
        <f t="shared" si="46"/>
        <v>45.078906849315068</v>
      </c>
      <c r="O44" s="66">
        <f t="shared" si="47"/>
        <v>202855080.8219178</v>
      </c>
      <c r="P44" s="67">
        <f>+$P$35</f>
        <v>0.69525000000000003</v>
      </c>
      <c r="Q44" s="1"/>
      <c r="R44" s="57">
        <f t="shared" si="5"/>
        <v>2.5013698630136987</v>
      </c>
      <c r="S44" s="57">
        <f t="shared" si="6"/>
        <v>0.19283095771626529</v>
      </c>
      <c r="T44" s="58">
        <f t="shared" si="7"/>
        <v>45.078906849315068</v>
      </c>
      <c r="U44" s="68">
        <f t="shared" si="8"/>
        <v>8.6926087805557355</v>
      </c>
      <c r="V44" s="58">
        <f t="shared" si="9"/>
        <v>21.743429634650376</v>
      </c>
      <c r="W44" s="1"/>
      <c r="X44" s="1"/>
      <c r="Y44" s="5"/>
      <c r="Z44" s="5"/>
      <c r="AA44" s="5"/>
      <c r="AB44" s="5"/>
      <c r="AC44" s="5"/>
      <c r="AD44" s="5"/>
      <c r="AE44" s="5"/>
      <c r="AF44" s="5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</row>
    <row r="45" spans="2:145" s="60" customFormat="1" ht="12.75" customHeight="1" x14ac:dyDescent="0.2">
      <c r="B45" s="47">
        <v>45922</v>
      </c>
      <c r="C45" s="61">
        <f t="shared" si="36"/>
        <v>92</v>
      </c>
      <c r="D45" s="61">
        <f t="shared" si="37"/>
        <v>3</v>
      </c>
      <c r="E45" s="49">
        <f t="shared" si="38"/>
        <v>45922</v>
      </c>
      <c r="F45" s="50">
        <f t="shared" si="39"/>
        <v>45922</v>
      </c>
      <c r="G45" s="62">
        <f t="shared" si="40"/>
        <v>45922</v>
      </c>
      <c r="H45" s="52">
        <f t="shared" si="41"/>
        <v>92</v>
      </c>
      <c r="I45" s="52">
        <f t="shared" si="42"/>
        <v>1005</v>
      </c>
      <c r="J45" s="153">
        <f t="shared" si="43"/>
        <v>0.71525000000000005</v>
      </c>
      <c r="K45" s="64">
        <f t="shared" si="44"/>
        <v>6.1295945205479452</v>
      </c>
      <c r="L45" s="65">
        <v>0</v>
      </c>
      <c r="M45" s="65">
        <f t="shared" si="45"/>
        <v>34</v>
      </c>
      <c r="N45" s="91">
        <f t="shared" si="46"/>
        <v>6.1295945205479452</v>
      </c>
      <c r="O45" s="66">
        <f t="shared" si="47"/>
        <v>27583175.342465755</v>
      </c>
      <c r="P45" s="67">
        <f>+$P$35</f>
        <v>0.69525000000000003</v>
      </c>
      <c r="Q45" s="1"/>
      <c r="R45" s="57">
        <f t="shared" si="5"/>
        <v>2.7534246575342465</v>
      </c>
      <c r="S45" s="57">
        <f t="shared" si="6"/>
        <v>0.16336024527237022</v>
      </c>
      <c r="T45" s="58">
        <f t="shared" si="7"/>
        <v>6.1295945205479452</v>
      </c>
      <c r="U45" s="68">
        <f t="shared" si="8"/>
        <v>1.0013320642968888</v>
      </c>
      <c r="V45" s="58">
        <f t="shared" si="9"/>
        <v>2.7570923962147211</v>
      </c>
      <c r="W45" s="1"/>
      <c r="X45" s="1"/>
      <c r="Y45" s="5"/>
      <c r="Z45" s="5"/>
      <c r="AA45" s="5"/>
      <c r="AB45" s="5"/>
      <c r="AC45" s="5"/>
      <c r="AD45" s="5"/>
      <c r="AE45" s="5"/>
      <c r="AF45" s="5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</row>
    <row r="46" spans="2:145" s="60" customFormat="1" ht="12.75" customHeight="1" x14ac:dyDescent="0.2">
      <c r="B46" s="47">
        <v>46013</v>
      </c>
      <c r="C46" s="61">
        <f t="shared" si="17"/>
        <v>91</v>
      </c>
      <c r="D46" s="61">
        <f t="shared" ref="D46" si="48">+ROUND(C46/30.5,0)</f>
        <v>3</v>
      </c>
      <c r="E46" s="49">
        <f t="shared" si="11"/>
        <v>46013</v>
      </c>
      <c r="F46" s="50">
        <f t="shared" si="18"/>
        <v>46013</v>
      </c>
      <c r="G46" s="69">
        <f t="shared" si="12"/>
        <v>46013</v>
      </c>
      <c r="H46" s="70">
        <f t="shared" ref="H46" si="49">+F46-F45</f>
        <v>91</v>
      </c>
      <c r="I46" s="70">
        <f t="shared" si="14"/>
        <v>1096</v>
      </c>
      <c r="J46" s="154">
        <f t="shared" ref="J36:J46" si="50">+P46+$P$13</f>
        <v>0.71525000000000005</v>
      </c>
      <c r="K46" s="72">
        <f t="shared" si="20"/>
        <v>6.0629684931506853</v>
      </c>
      <c r="L46" s="73">
        <v>34</v>
      </c>
      <c r="M46" s="73">
        <f t="shared" si="21"/>
        <v>0</v>
      </c>
      <c r="N46" s="92">
        <f t="shared" si="15"/>
        <v>40.062968493150684</v>
      </c>
      <c r="O46" s="74">
        <f t="shared" si="16"/>
        <v>180283358.21917808</v>
      </c>
      <c r="P46" s="75">
        <f>+$P$35</f>
        <v>0.69525000000000003</v>
      </c>
      <c r="Q46" s="76"/>
      <c r="R46" s="57">
        <f t="shared" si="5"/>
        <v>3.0027397260273974</v>
      </c>
      <c r="S46" s="57">
        <f t="shared" si="6"/>
        <v>0.13864331511879638</v>
      </c>
      <c r="T46" s="58">
        <f t="shared" si="7"/>
        <v>40.062968493150684</v>
      </c>
      <c r="U46" s="68">
        <f t="shared" si="8"/>
        <v>5.5544627653903014</v>
      </c>
      <c r="V46" s="58">
        <f t="shared" si="9"/>
        <v>16.678606002377453</v>
      </c>
      <c r="W46" s="1"/>
      <c r="X46" s="1"/>
      <c r="Y46" s="5"/>
      <c r="Z46" s="5"/>
      <c r="AA46" s="5"/>
      <c r="AB46" s="5"/>
      <c r="AC46" s="5"/>
      <c r="AD46" s="5"/>
      <c r="AE46" s="5"/>
      <c r="AF46" s="5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</row>
    <row r="47" spans="2:145" ht="12.75" customHeight="1" x14ac:dyDescent="0.2">
      <c r="C47" s="77">
        <f>SUM(C35:C46)</f>
        <v>1096</v>
      </c>
      <c r="D47" s="77">
        <f>SUM(D35:D46)</f>
        <v>36</v>
      </c>
      <c r="G47" s="78"/>
      <c r="H47" s="79"/>
      <c r="I47" s="80"/>
      <c r="J47" s="63"/>
      <c r="K47" s="81"/>
      <c r="L47" s="82"/>
      <c r="M47" s="80"/>
      <c r="N47" s="80"/>
      <c r="O47" s="83"/>
      <c r="Q47" s="76"/>
      <c r="R47" s="1">
        <f t="shared" si="5"/>
        <v>0</v>
      </c>
      <c r="S47" s="1">
        <f t="shared" si="6"/>
        <v>1</v>
      </c>
      <c r="T47" s="58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G48" s="84"/>
      <c r="H48" s="79"/>
      <c r="I48" s="79"/>
      <c r="J48" s="79"/>
      <c r="K48" s="79"/>
      <c r="L48" s="85">
        <f>SUM(L42:L46)</f>
        <v>100</v>
      </c>
      <c r="M48" s="80"/>
      <c r="N48" s="80"/>
      <c r="O48" s="86">
        <f>SUM(O34:O46)</f>
        <v>807001878.08219171</v>
      </c>
      <c r="Q48" s="76"/>
      <c r="R48" s="87"/>
      <c r="S48" s="87"/>
      <c r="T48" s="58"/>
      <c r="U48" s="58">
        <f>SUM(U35:U46)</f>
        <v>100.00000027649338</v>
      </c>
      <c r="V48" s="58">
        <f>SUM(V35:V46)</f>
        <v>131.99022399174419</v>
      </c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ht="9.75" customHeight="1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R206" s="1"/>
      <c r="S206" s="1"/>
      <c r="T206" s="1"/>
      <c r="U206" s="1"/>
      <c r="V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R207" s="1"/>
      <c r="S207" s="1"/>
      <c r="T207" s="1"/>
      <c r="U207" s="1"/>
      <c r="V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R208" s="1"/>
      <c r="S208" s="1"/>
      <c r="T208" s="1"/>
      <c r="U208" s="1"/>
      <c r="V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  <row r="209" spans="18:145" x14ac:dyDescent="0.2">
      <c r="R209" s="1"/>
      <c r="S209" s="1"/>
      <c r="T209" s="1"/>
      <c r="U209" s="1"/>
      <c r="V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</row>
    <row r="210" spans="18:145" x14ac:dyDescent="0.2">
      <c r="R210" s="1"/>
      <c r="S210" s="1"/>
      <c r="T210" s="1"/>
      <c r="U210" s="1"/>
      <c r="V210" s="1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</row>
    <row r="211" spans="18:145" x14ac:dyDescent="0.2">
      <c r="R211" s="1"/>
      <c r="S211" s="1"/>
      <c r="T211" s="1"/>
      <c r="U211" s="1"/>
      <c r="V211" s="1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</row>
    <row r="212" spans="18:145" x14ac:dyDescent="0.2">
      <c r="R212" s="1"/>
      <c r="S212" s="1"/>
      <c r="T212" s="1"/>
      <c r="U212" s="1"/>
      <c r="V212" s="1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</row>
    <row r="213" spans="18:145" x14ac:dyDescent="0.2">
      <c r="R213" s="1"/>
      <c r="S213" s="1"/>
      <c r="T213" s="1"/>
      <c r="U213" s="1"/>
      <c r="V213" s="1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</row>
    <row r="214" spans="18:145" x14ac:dyDescent="0.2">
      <c r="R214" s="1"/>
      <c r="S214" s="1"/>
      <c r="T214" s="1"/>
      <c r="U214" s="1"/>
      <c r="V214" s="1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</row>
    <row r="215" spans="18:145" x14ac:dyDescent="0.2">
      <c r="R215" s="1"/>
      <c r="S215" s="1"/>
      <c r="T215" s="1"/>
      <c r="U215" s="1"/>
      <c r="V215" s="1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</row>
    <row r="216" spans="18:145" x14ac:dyDescent="0.2">
      <c r="R216" s="1"/>
      <c r="S216" s="1"/>
      <c r="T216" s="1"/>
      <c r="U216" s="1"/>
      <c r="V216" s="1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</row>
    <row r="217" spans="18:145" x14ac:dyDescent="0.2">
      <c r="R217" s="1"/>
      <c r="S217" s="1"/>
      <c r="T217" s="1"/>
      <c r="U217" s="1"/>
      <c r="V217" s="1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</row>
    <row r="218" spans="18:145" x14ac:dyDescent="0.2"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</row>
    <row r="219" spans="18:145" x14ac:dyDescent="0.2"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</row>
    <row r="220" spans="18:145" x14ac:dyDescent="0.2"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</row>
  </sheetData>
  <sheetProtection selectLockedCells="1"/>
  <mergeCells count="36">
    <mergeCell ref="M31:M32"/>
    <mergeCell ref="N31:N32"/>
    <mergeCell ref="O31:O32"/>
    <mergeCell ref="P31:P32"/>
    <mergeCell ref="G31:G32"/>
    <mergeCell ref="H31:H32"/>
    <mergeCell ref="I31:I32"/>
    <mergeCell ref="J31:J32"/>
    <mergeCell ref="K31:K32"/>
    <mergeCell ref="L31:L32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02"/>
  <sheetViews>
    <sheetView showGridLines="0" tabSelected="1" zoomScaleNormal="100" zoomScaleSheetLayoutView="130" workbookViewId="0">
      <selection activeCell="P13" sqref="P13:Q13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96" t="s">
        <v>42</v>
      </c>
      <c r="H8" s="97"/>
      <c r="I8" s="97"/>
      <c r="J8" s="97"/>
      <c r="K8" s="97"/>
      <c r="L8" s="97"/>
      <c r="M8" s="97"/>
      <c r="N8" s="97"/>
      <c r="O8" s="97"/>
      <c r="P8" s="98"/>
      <c r="Q8" s="9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8" t="s">
        <v>0</v>
      </c>
      <c r="H10" s="100">
        <v>44917</v>
      </c>
      <c r="I10" s="101"/>
      <c r="J10" s="102" t="s">
        <v>1</v>
      </c>
      <c r="K10" s="103"/>
      <c r="L10" s="104">
        <f>XIRR(O25:O28,E25:E28)</f>
        <v>1.0028263926506045E-2</v>
      </c>
      <c r="M10" s="105"/>
      <c r="N10" s="102" t="s">
        <v>2</v>
      </c>
      <c r="O10" s="103"/>
      <c r="P10" s="104" t="s">
        <v>38</v>
      </c>
      <c r="Q10" s="105"/>
      <c r="R10" s="9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G11" s="10" t="s">
        <v>4</v>
      </c>
      <c r="H11" s="112">
        <f>+G28</f>
        <v>46013</v>
      </c>
      <c r="I11" s="113"/>
      <c r="J11" s="108" t="s">
        <v>5</v>
      </c>
      <c r="K11" s="109"/>
      <c r="L11" s="106">
        <f>+(($L$10+1)^(0.0833333333333)-1)*12</f>
        <v>9.9824643124488688E-3</v>
      </c>
      <c r="M11" s="107"/>
      <c r="N11" s="108" t="s">
        <v>7</v>
      </c>
      <c r="O11" s="109"/>
      <c r="P11" s="106">
        <v>0</v>
      </c>
      <c r="Q11" s="11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11"/>
      <c r="D12" s="11"/>
      <c r="G12" s="10" t="s">
        <v>7</v>
      </c>
      <c r="H12" s="106">
        <v>0</v>
      </c>
      <c r="I12" s="107"/>
      <c r="J12" s="108" t="s">
        <v>9</v>
      </c>
      <c r="K12" s="109"/>
      <c r="L12" s="106">
        <f>+(($L$10+1)^(0.25)-1)*4</f>
        <v>9.9907707479252039E-3</v>
      </c>
      <c r="M12" s="107"/>
      <c r="N12" s="108" t="s">
        <v>10</v>
      </c>
      <c r="O12" s="109"/>
      <c r="P12" s="110">
        <v>2609931</v>
      </c>
      <c r="Q12" s="111"/>
      <c r="S12" s="12"/>
      <c r="U12" s="1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G13" s="95" t="s">
        <v>39</v>
      </c>
      <c r="H13" s="147">
        <v>172.41829999999999</v>
      </c>
      <c r="I13" s="148"/>
      <c r="J13" s="108" t="s">
        <v>11</v>
      </c>
      <c r="K13" s="109"/>
      <c r="L13" s="127">
        <f>+(V30/U30)*12</f>
        <v>30.067397510679342</v>
      </c>
      <c r="M13" s="128"/>
      <c r="N13" s="129" t="s">
        <v>40</v>
      </c>
      <c r="O13" s="130"/>
      <c r="P13" s="131">
        <v>0.97529999999999994</v>
      </c>
      <c r="Q13" s="132"/>
      <c r="S13" s="12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15" t="s">
        <v>13</v>
      </c>
      <c r="H14" s="115">
        <f>+$H$10</f>
        <v>44917</v>
      </c>
      <c r="I14" s="116"/>
      <c r="J14" s="117" t="s">
        <v>14</v>
      </c>
      <c r="K14" s="118"/>
      <c r="L14" s="119">
        <f>+D29</f>
        <v>36</v>
      </c>
      <c r="M14" s="120"/>
      <c r="N14" s="143" t="s">
        <v>41</v>
      </c>
      <c r="O14" s="144"/>
      <c r="P14" s="145">
        <f>+P12*H13</f>
        <v>449999866.13729995</v>
      </c>
      <c r="Q14" s="146"/>
      <c r="S14" s="1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H15" s="16"/>
      <c r="I15" s="17"/>
      <c r="J15" s="17"/>
      <c r="M15" s="18"/>
      <c r="N15" s="19"/>
      <c r="S15" s="12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20" t="s">
        <v>16</v>
      </c>
      <c r="K16" s="21" t="s">
        <v>17</v>
      </c>
      <c r="L16" s="22" t="s">
        <v>18</v>
      </c>
      <c r="M16" s="23" t="s">
        <v>19</v>
      </c>
      <c r="N16" s="19"/>
      <c r="P16" s="150"/>
      <c r="S16" s="12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24">
        <f>+G26</f>
        <v>45648</v>
      </c>
      <c r="K17" s="25">
        <f>+$P$12*L26/100</f>
        <v>861277.23</v>
      </c>
      <c r="L17" s="26">
        <f>+$P$12*K26/100</f>
        <v>0</v>
      </c>
      <c r="M17" s="27">
        <f>SUM(K17:L17)</f>
        <v>861277.23</v>
      </c>
      <c r="N17" s="19"/>
      <c r="P17" s="150"/>
      <c r="S17" s="12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24">
        <f t="shared" ref="J18" si="0">+G27</f>
        <v>45830</v>
      </c>
      <c r="K18" s="25">
        <f>+$P$12*L27/100</f>
        <v>861277.23</v>
      </c>
      <c r="L18" s="26">
        <f>+$P$12*K27/100</f>
        <v>0</v>
      </c>
      <c r="M18" s="27">
        <f t="shared" ref="M18:M19" si="1">SUM(K18:L18)</f>
        <v>861277.23</v>
      </c>
      <c r="N18" s="19"/>
      <c r="O18" s="28"/>
      <c r="P18" s="89"/>
      <c r="S18" s="12"/>
      <c r="Y18" s="5"/>
      <c r="Z18" s="5"/>
      <c r="AA18" s="5"/>
      <c r="AB18" s="5"/>
      <c r="AC18" s="5"/>
      <c r="AD18" s="5"/>
      <c r="AE18" s="5"/>
      <c r="AF18" s="5"/>
      <c r="AG18" s="29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24">
        <f>+G28</f>
        <v>46013</v>
      </c>
      <c r="K19" s="25">
        <f>+$P$12*L28/100</f>
        <v>887376.54</v>
      </c>
      <c r="L19" s="26">
        <f>+$P$12*K28/100</f>
        <v>0</v>
      </c>
      <c r="M19" s="27">
        <f t="shared" si="1"/>
        <v>887376.54</v>
      </c>
      <c r="N19" s="19"/>
      <c r="P19" s="3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31" t="s">
        <v>19</v>
      </c>
      <c r="K20" s="32">
        <f>SUM(K17:K19)</f>
        <v>2609931</v>
      </c>
      <c r="L20" s="33">
        <f>SUM(L17:L19)</f>
        <v>0</v>
      </c>
      <c r="M20" s="34">
        <f>SUM(K20:L20)</f>
        <v>2609931</v>
      </c>
      <c r="N20" s="19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x14ac:dyDescent="0.2">
      <c r="H21" s="35"/>
      <c r="I21" s="17"/>
      <c r="J21" s="17"/>
      <c r="M21" s="18"/>
      <c r="N21" s="19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4.25" customHeight="1" x14ac:dyDescent="0.2">
      <c r="G22" s="139" t="s">
        <v>20</v>
      </c>
      <c r="H22" s="141" t="s">
        <v>21</v>
      </c>
      <c r="I22" s="141" t="s">
        <v>22</v>
      </c>
      <c r="J22" s="141" t="s">
        <v>23</v>
      </c>
      <c r="K22" s="133" t="s">
        <v>24</v>
      </c>
      <c r="L22" s="133" t="s">
        <v>25</v>
      </c>
      <c r="M22" s="133" t="s">
        <v>26</v>
      </c>
      <c r="N22" s="135" t="s">
        <v>27</v>
      </c>
      <c r="O22" s="137" t="s">
        <v>28</v>
      </c>
      <c r="R22" s="36" t="s">
        <v>30</v>
      </c>
      <c r="S22" s="36" t="s">
        <v>31</v>
      </c>
      <c r="T22" s="36" t="s">
        <v>32</v>
      </c>
      <c r="U22" s="36" t="s">
        <v>33</v>
      </c>
      <c r="V22" s="36" t="s">
        <v>34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x14ac:dyDescent="0.2">
      <c r="G23" s="140"/>
      <c r="H23" s="142"/>
      <c r="I23" s="142"/>
      <c r="J23" s="142"/>
      <c r="K23" s="134"/>
      <c r="L23" s="134"/>
      <c r="M23" s="134"/>
      <c r="N23" s="136"/>
      <c r="O23" s="138"/>
      <c r="R23" s="37"/>
      <c r="S23" s="38">
        <f>+L10</f>
        <v>1.0028263926506045E-2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x14ac:dyDescent="0.2">
      <c r="B24" s="1" t="s">
        <v>35</v>
      </c>
      <c r="C24" s="39" t="s">
        <v>36</v>
      </c>
      <c r="D24" s="39" t="s">
        <v>37</v>
      </c>
      <c r="G24" s="40"/>
      <c r="H24" s="41"/>
      <c r="I24" s="41"/>
      <c r="J24" s="42">
        <f>+J25</f>
        <v>0.97529999999999994</v>
      </c>
      <c r="K24" s="43"/>
      <c r="L24" s="43"/>
      <c r="M24" s="44">
        <f>+M25</f>
        <v>100</v>
      </c>
      <c r="N24" s="45"/>
      <c r="O24" s="46"/>
      <c r="R24" s="37"/>
      <c r="S24" s="38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s="60" customFormat="1" ht="12.75" customHeight="1" x14ac:dyDescent="0.2">
      <c r="B25" s="47">
        <f>+H10</f>
        <v>44917</v>
      </c>
      <c r="C25" s="48"/>
      <c r="D25" s="48"/>
      <c r="E25" s="49">
        <f>+H14</f>
        <v>44917</v>
      </c>
      <c r="F25" s="50">
        <f>+H10</f>
        <v>44917</v>
      </c>
      <c r="G25" s="51">
        <f>+F25</f>
        <v>44917</v>
      </c>
      <c r="H25" s="53"/>
      <c r="I25" s="53"/>
      <c r="J25" s="54">
        <f>+$P$13</f>
        <v>0.97529999999999994</v>
      </c>
      <c r="K25" s="53"/>
      <c r="L25" s="53"/>
      <c r="M25" s="55">
        <v>100</v>
      </c>
      <c r="N25" s="93">
        <f>-P13*100</f>
        <v>-97.53</v>
      </c>
      <c r="O25" s="94">
        <f>-(P12*P13)</f>
        <v>-2545465.7042999999</v>
      </c>
      <c r="P25" s="1"/>
      <c r="Q25" s="1"/>
      <c r="R25" s="57">
        <f t="shared" ref="R25:R29" si="2">I25/365</f>
        <v>0</v>
      </c>
      <c r="S25" s="57">
        <f t="shared" ref="S25:S29" si="3">1/(1+$L$10)^(I25/365)</f>
        <v>1</v>
      </c>
      <c r="T25" s="58">
        <f t="shared" ref="T25:T28" si="4">+N25</f>
        <v>-97.53</v>
      </c>
      <c r="U25" s="58">
        <f t="shared" ref="U25:U28" si="5">+T25*S25</f>
        <v>-97.53</v>
      </c>
      <c r="V25" s="58">
        <f t="shared" ref="V25" si="6">+U25*R25</f>
        <v>0</v>
      </c>
      <c r="W25" s="1"/>
      <c r="X25" s="1"/>
      <c r="Y25" s="5"/>
      <c r="Z25" s="5"/>
      <c r="AA25" s="5"/>
      <c r="AB25" s="5"/>
      <c r="AC25" s="5"/>
      <c r="AD25" s="5"/>
      <c r="AE25" s="5"/>
      <c r="AF25" s="5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</row>
    <row r="26" spans="2:145" s="60" customFormat="1" ht="12.75" customHeight="1" x14ac:dyDescent="0.2">
      <c r="B26" s="47">
        <v>45648</v>
      </c>
      <c r="C26" s="48">
        <f t="shared" ref="C26:C28" si="7">+B26-B25</f>
        <v>731</v>
      </c>
      <c r="D26" s="61">
        <f>+ROUND(C26/30.5,0)</f>
        <v>24</v>
      </c>
      <c r="E26" s="49">
        <f t="shared" ref="E26:E28" si="8">+G26</f>
        <v>45648</v>
      </c>
      <c r="F26" s="50">
        <f t="shared" ref="F26:F28" si="9">+F25+C26</f>
        <v>45648</v>
      </c>
      <c r="G26" s="62">
        <f t="shared" ref="G26:G28" si="10">+F26</f>
        <v>45648</v>
      </c>
      <c r="H26" s="52">
        <f t="shared" ref="H26:H28" si="11">+F26-F25</f>
        <v>731</v>
      </c>
      <c r="I26" s="52">
        <f t="shared" ref="I26:I28" si="12">+IF(G26-$H$14&lt;0,0,G26-$H$14)</f>
        <v>731</v>
      </c>
      <c r="J26" s="63">
        <f>+$P$11</f>
        <v>0</v>
      </c>
      <c r="K26" s="64">
        <f t="shared" ref="K26:K28" si="13">+J26/365*H26*M25</f>
        <v>0</v>
      </c>
      <c r="L26" s="65">
        <v>33</v>
      </c>
      <c r="M26" s="65">
        <f t="shared" ref="M26:M28" si="14">+M25-L26</f>
        <v>67</v>
      </c>
      <c r="N26" s="65">
        <f t="shared" ref="N26:N28" si="15">+IF(G26&gt;$H$14,K26+L26,0)</f>
        <v>33</v>
      </c>
      <c r="O26" s="66">
        <f>+N26*$P$12/100</f>
        <v>861277.23</v>
      </c>
      <c r="P26" s="1"/>
      <c r="Q26" s="1"/>
      <c r="R26" s="57">
        <f t="shared" si="2"/>
        <v>2.0027397260273974</v>
      </c>
      <c r="S26" s="57">
        <f t="shared" si="3"/>
        <v>0.98021438901431757</v>
      </c>
      <c r="T26" s="58">
        <f t="shared" si="4"/>
        <v>33</v>
      </c>
      <c r="U26" s="68">
        <f t="shared" si="5"/>
        <v>32.347074837472476</v>
      </c>
      <c r="V26" s="58">
        <f>+U26*R26</f>
        <v>64.782771797787348</v>
      </c>
      <c r="W26" s="1"/>
      <c r="X26" s="1"/>
      <c r="Y26" s="5"/>
      <c r="Z26" s="5"/>
      <c r="AA26" s="5"/>
      <c r="AB26" s="5"/>
      <c r="AC26" s="5"/>
      <c r="AD26" s="5"/>
      <c r="AE26" s="5"/>
      <c r="AF26" s="5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</row>
    <row r="27" spans="2:145" s="60" customFormat="1" ht="12.75" customHeight="1" x14ac:dyDescent="0.2">
      <c r="B27" s="47">
        <v>45830</v>
      </c>
      <c r="C27" s="48">
        <f t="shared" si="7"/>
        <v>182</v>
      </c>
      <c r="D27" s="61">
        <f t="shared" ref="D27:D28" si="16">+ROUND(C27/30.5,0)</f>
        <v>6</v>
      </c>
      <c r="E27" s="49">
        <f t="shared" si="8"/>
        <v>45830</v>
      </c>
      <c r="F27" s="50">
        <f t="shared" si="9"/>
        <v>45830</v>
      </c>
      <c r="G27" s="62">
        <f t="shared" si="10"/>
        <v>45830</v>
      </c>
      <c r="H27" s="52">
        <f t="shared" si="11"/>
        <v>182</v>
      </c>
      <c r="I27" s="52">
        <f t="shared" si="12"/>
        <v>913</v>
      </c>
      <c r="J27" s="63">
        <f>+$P$11</f>
        <v>0</v>
      </c>
      <c r="K27" s="64">
        <f t="shared" si="13"/>
        <v>0</v>
      </c>
      <c r="L27" s="65">
        <v>33</v>
      </c>
      <c r="M27" s="65">
        <f t="shared" si="14"/>
        <v>34</v>
      </c>
      <c r="N27" s="65">
        <f t="shared" si="15"/>
        <v>33</v>
      </c>
      <c r="O27" s="66">
        <f>+N27*$P$12/100</f>
        <v>861277.23</v>
      </c>
      <c r="P27" s="1"/>
      <c r="Q27" s="1"/>
      <c r="R27" s="57">
        <f t="shared" si="2"/>
        <v>2.5013698630136987</v>
      </c>
      <c r="S27" s="57">
        <f t="shared" si="3"/>
        <v>0.97534945648537097</v>
      </c>
      <c r="T27" s="58">
        <f t="shared" si="4"/>
        <v>33</v>
      </c>
      <c r="U27" s="68">
        <f t="shared" si="5"/>
        <v>32.186532064017243</v>
      </c>
      <c r="V27" s="58">
        <f t="shared" ref="V27:V28" si="17">+U27*R27</f>
        <v>80.51042129985683</v>
      </c>
      <c r="W27" s="1"/>
      <c r="X27" s="1"/>
      <c r="Y27" s="5"/>
      <c r="Z27" s="5"/>
      <c r="AA27" s="5"/>
      <c r="AB27" s="5"/>
      <c r="AC27" s="5"/>
      <c r="AD27" s="5"/>
      <c r="AE27" s="5"/>
      <c r="AF27" s="5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</row>
    <row r="28" spans="2:145" s="60" customFormat="1" ht="12.75" customHeight="1" x14ac:dyDescent="0.2">
      <c r="B28" s="47">
        <v>46013</v>
      </c>
      <c r="C28" s="48">
        <f t="shared" si="7"/>
        <v>183</v>
      </c>
      <c r="D28" s="61">
        <f t="shared" si="16"/>
        <v>6</v>
      </c>
      <c r="E28" s="49">
        <f t="shared" si="8"/>
        <v>46013</v>
      </c>
      <c r="F28" s="50">
        <f t="shared" si="9"/>
        <v>46013</v>
      </c>
      <c r="G28" s="88">
        <f t="shared" si="10"/>
        <v>46013</v>
      </c>
      <c r="H28" s="70">
        <f t="shared" si="11"/>
        <v>183</v>
      </c>
      <c r="I28" s="70">
        <f t="shared" si="12"/>
        <v>1096</v>
      </c>
      <c r="J28" s="71">
        <f>+$P$11</f>
        <v>0</v>
      </c>
      <c r="K28" s="72">
        <f t="shared" si="13"/>
        <v>0</v>
      </c>
      <c r="L28" s="73">
        <v>34</v>
      </c>
      <c r="M28" s="73">
        <f t="shared" si="14"/>
        <v>0</v>
      </c>
      <c r="N28" s="73">
        <f t="shared" si="15"/>
        <v>34</v>
      </c>
      <c r="O28" s="74">
        <f>+N28*$P$12/100</f>
        <v>887376.54</v>
      </c>
      <c r="P28" s="1"/>
      <c r="Q28" s="76"/>
      <c r="R28" s="57">
        <f t="shared" si="2"/>
        <v>3.0027397260273974</v>
      </c>
      <c r="S28" s="57">
        <f t="shared" si="3"/>
        <v>0.97048213799850858</v>
      </c>
      <c r="T28" s="58">
        <f t="shared" si="4"/>
        <v>34</v>
      </c>
      <c r="U28" s="68">
        <f t="shared" si="5"/>
        <v>32.996392691949289</v>
      </c>
      <c r="V28" s="58">
        <f t="shared" si="17"/>
        <v>99.079579151716231</v>
      </c>
      <c r="W28" s="1"/>
      <c r="X28" s="1"/>
      <c r="Y28" s="5"/>
      <c r="Z28" s="5"/>
      <c r="AA28" s="5"/>
      <c r="AB28" s="5"/>
      <c r="AC28" s="5"/>
      <c r="AD28" s="5"/>
      <c r="AE28" s="5"/>
      <c r="AF28" s="5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</row>
    <row r="29" spans="2:145" ht="12.75" customHeight="1" x14ac:dyDescent="0.2">
      <c r="D29" s="77">
        <f>SUM(D26:D28)</f>
        <v>36</v>
      </c>
      <c r="G29" s="78"/>
      <c r="H29" s="79"/>
      <c r="I29" s="80"/>
      <c r="J29" s="63"/>
      <c r="K29" s="81"/>
      <c r="L29" s="82"/>
      <c r="M29" s="80"/>
      <c r="N29" s="80"/>
      <c r="O29" s="83"/>
      <c r="Q29" s="76"/>
      <c r="R29" s="90">
        <f t="shared" si="2"/>
        <v>0</v>
      </c>
      <c r="S29" s="89">
        <f t="shared" si="3"/>
        <v>1</v>
      </c>
      <c r="T29" s="58"/>
      <c r="U29" s="1"/>
      <c r="V29" s="1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</row>
    <row r="30" spans="2:145" x14ac:dyDescent="0.2">
      <c r="G30" s="84"/>
      <c r="H30" s="79"/>
      <c r="I30" s="79"/>
      <c r="J30" s="79"/>
      <c r="K30" s="79"/>
      <c r="L30" s="85">
        <f>SUM(L26:L28)</f>
        <v>100</v>
      </c>
      <c r="M30" s="80"/>
      <c r="N30" s="80"/>
      <c r="O30" s="86">
        <f>SUM(O25:O28)</f>
        <v>64465.295700000133</v>
      </c>
      <c r="Q30" s="76"/>
      <c r="R30" s="87"/>
      <c r="S30" s="87"/>
      <c r="T30" s="58"/>
      <c r="U30" s="58">
        <f>SUM(U26:U28)</f>
        <v>97.529999593439015</v>
      </c>
      <c r="V30" s="58">
        <f>SUM(V26:V28)</f>
        <v>244.37277224936042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</row>
    <row r="31" spans="2:145" x14ac:dyDescent="0.2"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</row>
    <row r="32" spans="2:145" x14ac:dyDescent="0.2">
      <c r="R32" s="1"/>
      <c r="S32" s="1"/>
      <c r="T32" s="1"/>
      <c r="U32" s="1"/>
      <c r="V32" s="1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</row>
    <row r="33" spans="18:145" x14ac:dyDescent="0.2">
      <c r="R33" s="1"/>
      <c r="S33" s="1"/>
      <c r="T33" s="1"/>
      <c r="U33" s="1"/>
      <c r="V33" s="1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</row>
    <row r="34" spans="18:145" x14ac:dyDescent="0.2">
      <c r="R34" s="1"/>
      <c r="S34" s="1"/>
      <c r="T34" s="1"/>
      <c r="U34" s="1"/>
      <c r="V34" s="1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</row>
    <row r="35" spans="18:145" x14ac:dyDescent="0.2">
      <c r="R35" s="1"/>
      <c r="S35" s="1"/>
      <c r="T35" s="1"/>
      <c r="U35" s="1"/>
      <c r="V35" s="1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</row>
    <row r="36" spans="18:145" ht="9.75" customHeight="1" x14ac:dyDescent="0.2">
      <c r="R36" s="1"/>
      <c r="S36" s="1"/>
      <c r="T36" s="1"/>
      <c r="U36" s="1"/>
      <c r="V36" s="1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</row>
    <row r="37" spans="18:145" x14ac:dyDescent="0.2">
      <c r="R37" s="1"/>
      <c r="S37" s="1"/>
      <c r="T37" s="1"/>
      <c r="U37" s="1"/>
      <c r="V37" s="1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</row>
    <row r="38" spans="18:145" x14ac:dyDescent="0.2">
      <c r="R38" s="1"/>
      <c r="S38" s="1"/>
      <c r="T38" s="1"/>
      <c r="U38" s="1"/>
      <c r="V38" s="1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</row>
    <row r="39" spans="18:145" x14ac:dyDescent="0.2">
      <c r="R39" s="1"/>
      <c r="S39" s="1"/>
      <c r="T39" s="1"/>
      <c r="U39" s="1"/>
      <c r="V39" s="1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18:145" x14ac:dyDescent="0.2">
      <c r="R40" s="1"/>
      <c r="S40" s="1"/>
      <c r="T40" s="1"/>
      <c r="U40" s="1"/>
      <c r="V40" s="1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18:145" x14ac:dyDescent="0.2">
      <c r="R41" s="1"/>
      <c r="S41" s="1"/>
      <c r="T41" s="1"/>
      <c r="U41" s="1"/>
      <c r="V41" s="1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18:145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18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18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18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18:145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18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18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</sheetData>
  <sheetProtection selectLockedCells="1"/>
  <mergeCells count="35">
    <mergeCell ref="M22:M23"/>
    <mergeCell ref="N22:N23"/>
    <mergeCell ref="O22:O23"/>
    <mergeCell ref="G22:G23"/>
    <mergeCell ref="H22:H23"/>
    <mergeCell ref="I22:I23"/>
    <mergeCell ref="J22:J23"/>
    <mergeCell ref="K22:K23"/>
    <mergeCell ref="L22:L23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I (ARS)</vt:lpstr>
      <vt:lpstr>CLASE II (DL)</vt:lpstr>
      <vt:lpstr>'CLASE I (ARS)'!Área_de_impresión</vt:lpstr>
      <vt:lpstr>'CLASE II (DL)'!Área_de_impresión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Mauro Jorge Zambon</cp:lastModifiedBy>
  <dcterms:created xsi:type="dcterms:W3CDTF">2022-11-22T22:17:42Z</dcterms:created>
  <dcterms:modified xsi:type="dcterms:W3CDTF">2022-12-19T15:01:05Z</dcterms:modified>
</cp:coreProperties>
</file>