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ALFREDO JOSE (BERTONE)\Difusión\"/>
    </mc:Choice>
  </mc:AlternateContent>
  <bookViews>
    <workbookView xWindow="0" yWindow="0" windowWidth="20400" windowHeight="7620" activeTab="1"/>
  </bookViews>
  <sheets>
    <sheet name="CLASE I (ARS)" sheetId="2" r:id="rId1"/>
    <sheet name="CLASE II (DL)" sheetId="4" r:id="rId2"/>
  </sheets>
  <definedNames>
    <definedName name="_xlnm.Print_Area" localSheetId="0">'CLASE I (ARS)'!$E$1:$Q$48</definedName>
    <definedName name="_xlnm.Print_Area" localSheetId="1">'CLASE II (DL)'!$E$1:$Q$48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K22" i="4" s="1"/>
  <c r="J32" i="4"/>
  <c r="J33" i="4"/>
  <c r="J34" i="4"/>
  <c r="J35" i="4"/>
  <c r="J36" i="4"/>
  <c r="J37" i="4"/>
  <c r="J38" i="4"/>
  <c r="J31" i="4"/>
  <c r="L40" i="4"/>
  <c r="R39" i="4"/>
  <c r="C38" i="4"/>
  <c r="D38" i="4" s="1"/>
  <c r="C37" i="4"/>
  <c r="D37" i="4" s="1"/>
  <c r="C36" i="4"/>
  <c r="D36" i="4" s="1"/>
  <c r="C35" i="4"/>
  <c r="D35" i="4" s="1"/>
  <c r="C34" i="4"/>
  <c r="D34" i="4" s="1"/>
  <c r="C33" i="4"/>
  <c r="D33" i="4" s="1"/>
  <c r="M32" i="4"/>
  <c r="M33" i="4" s="1"/>
  <c r="M34" i="4" s="1"/>
  <c r="M35" i="4" s="1"/>
  <c r="M36" i="4" s="1"/>
  <c r="M37" i="4" s="1"/>
  <c r="M38" i="4" s="1"/>
  <c r="D32" i="4"/>
  <c r="C32" i="4"/>
  <c r="M31" i="4"/>
  <c r="R30" i="4"/>
  <c r="N30" i="4"/>
  <c r="T30" i="4" s="1"/>
  <c r="J30" i="4"/>
  <c r="F30" i="4"/>
  <c r="B30" i="4"/>
  <c r="C31" i="4" s="1"/>
  <c r="M29" i="4"/>
  <c r="J29" i="4"/>
  <c r="H14" i="4"/>
  <c r="E30" i="4" s="1"/>
  <c r="K24" i="4" l="1"/>
  <c r="K20" i="4"/>
  <c r="K19" i="4"/>
  <c r="K23" i="4"/>
  <c r="O30" i="4"/>
  <c r="K17" i="4"/>
  <c r="K21" i="4"/>
  <c r="K18" i="4"/>
  <c r="D31" i="4"/>
  <c r="D39" i="4" s="1"/>
  <c r="L14" i="4" s="1"/>
  <c r="C39" i="4"/>
  <c r="F31" i="4"/>
  <c r="G30" i="4"/>
  <c r="L40" i="2"/>
  <c r="R39" i="2"/>
  <c r="P38" i="2"/>
  <c r="J38" i="2" s="1"/>
  <c r="C38" i="2"/>
  <c r="D38" i="2" s="1"/>
  <c r="P37" i="2"/>
  <c r="J37" i="2" s="1"/>
  <c r="C37" i="2"/>
  <c r="D37" i="2" s="1"/>
  <c r="P36" i="2"/>
  <c r="J36" i="2" s="1"/>
  <c r="C36" i="2"/>
  <c r="D36" i="2" s="1"/>
  <c r="P35" i="2"/>
  <c r="J35" i="2" s="1"/>
  <c r="C35" i="2"/>
  <c r="D35" i="2" s="1"/>
  <c r="P34" i="2"/>
  <c r="J34" i="2" s="1"/>
  <c r="C34" i="2"/>
  <c r="D34" i="2" s="1"/>
  <c r="P33" i="2"/>
  <c r="J33" i="2" s="1"/>
  <c r="C33" i="2"/>
  <c r="D33" i="2" s="1"/>
  <c r="P32" i="2"/>
  <c r="J32" i="2"/>
  <c r="C32" i="2"/>
  <c r="D32" i="2" s="1"/>
  <c r="M31" i="2"/>
  <c r="M32" i="2" s="1"/>
  <c r="M33" i="2" s="1"/>
  <c r="M34" i="2" s="1"/>
  <c r="M35" i="2" s="1"/>
  <c r="M36" i="2" s="1"/>
  <c r="M37" i="2" s="1"/>
  <c r="M38" i="2" s="1"/>
  <c r="J31" i="2"/>
  <c r="R30" i="2"/>
  <c r="O30" i="2"/>
  <c r="N30" i="2"/>
  <c r="T30" i="2" s="1"/>
  <c r="J30" i="2"/>
  <c r="J29" i="2" s="1"/>
  <c r="G30" i="2"/>
  <c r="F30" i="2"/>
  <c r="B30" i="2"/>
  <c r="C31" i="2" s="1"/>
  <c r="M29" i="2"/>
  <c r="K24" i="2"/>
  <c r="K23" i="2"/>
  <c r="K22" i="2"/>
  <c r="K21" i="2"/>
  <c r="K20" i="2"/>
  <c r="K19" i="2"/>
  <c r="K18" i="2"/>
  <c r="K17" i="2"/>
  <c r="H14" i="2"/>
  <c r="E30" i="2" s="1"/>
  <c r="K25" i="4" l="1"/>
  <c r="H31" i="4"/>
  <c r="K31" i="4" s="1"/>
  <c r="L17" i="4" s="1"/>
  <c r="F32" i="4"/>
  <c r="G31" i="4"/>
  <c r="K25" i="2"/>
  <c r="D31" i="2"/>
  <c r="D39" i="2" s="1"/>
  <c r="L14" i="2" s="1"/>
  <c r="C39" i="2"/>
  <c r="F31" i="2"/>
  <c r="M17" i="4" l="1"/>
  <c r="N31" i="4"/>
  <c r="I31" i="4"/>
  <c r="R31" i="4" s="1"/>
  <c r="E31" i="4"/>
  <c r="J17" i="4"/>
  <c r="G32" i="4"/>
  <c r="F33" i="4"/>
  <c r="H32" i="4"/>
  <c r="K32" i="4" s="1"/>
  <c r="L18" i="4" s="1"/>
  <c r="M18" i="4" s="1"/>
  <c r="H31" i="2"/>
  <c r="K31" i="2" s="1"/>
  <c r="L17" i="2" s="1"/>
  <c r="F32" i="2"/>
  <c r="G31" i="2"/>
  <c r="O31" i="4" l="1"/>
  <c r="T31" i="4"/>
  <c r="F34" i="4"/>
  <c r="H33" i="4"/>
  <c r="K33" i="4" s="1"/>
  <c r="L19" i="4" s="1"/>
  <c r="M19" i="4" s="1"/>
  <c r="G33" i="4"/>
  <c r="J18" i="4"/>
  <c r="N32" i="4"/>
  <c r="I32" i="4"/>
  <c r="R32" i="4" s="1"/>
  <c r="E32" i="4"/>
  <c r="N31" i="2"/>
  <c r="I31" i="2"/>
  <c r="R31" i="2" s="1"/>
  <c r="E31" i="2"/>
  <c r="J17" i="2"/>
  <c r="F33" i="2"/>
  <c r="H32" i="2"/>
  <c r="K32" i="2" s="1"/>
  <c r="L18" i="2" s="1"/>
  <c r="M18" i="2" s="1"/>
  <c r="G32" i="2"/>
  <c r="M17" i="2"/>
  <c r="T32" i="4" l="1"/>
  <c r="O32" i="4"/>
  <c r="G34" i="4"/>
  <c r="F35" i="4"/>
  <c r="H34" i="4"/>
  <c r="K34" i="4" s="1"/>
  <c r="L20" i="4" s="1"/>
  <c r="M20" i="4" s="1"/>
  <c r="N33" i="4"/>
  <c r="I33" i="4"/>
  <c r="R33" i="4" s="1"/>
  <c r="E33" i="4"/>
  <c r="J19" i="4"/>
  <c r="J18" i="2"/>
  <c r="E32" i="2"/>
  <c r="I32" i="2"/>
  <c r="R32" i="2" s="1"/>
  <c r="N32" i="2"/>
  <c r="F34" i="2"/>
  <c r="H33" i="2"/>
  <c r="K33" i="2" s="1"/>
  <c r="L19" i="2" s="1"/>
  <c r="G33" i="2"/>
  <c r="T31" i="2"/>
  <c r="O31" i="2"/>
  <c r="N34" i="4" l="1"/>
  <c r="I34" i="4"/>
  <c r="R34" i="4" s="1"/>
  <c r="E34" i="4"/>
  <c r="J20" i="4"/>
  <c r="F36" i="4"/>
  <c r="H35" i="4"/>
  <c r="K35" i="4" s="1"/>
  <c r="L21" i="4" s="1"/>
  <c r="G35" i="4"/>
  <c r="T33" i="4"/>
  <c r="O33" i="4"/>
  <c r="J19" i="2"/>
  <c r="N33" i="2"/>
  <c r="I33" i="2"/>
  <c r="R33" i="2" s="1"/>
  <c r="E33" i="2"/>
  <c r="M19" i="2"/>
  <c r="F35" i="2"/>
  <c r="H34" i="2"/>
  <c r="K34" i="2" s="1"/>
  <c r="L20" i="2" s="1"/>
  <c r="M20" i="2" s="1"/>
  <c r="G34" i="2"/>
  <c r="T32" i="2"/>
  <c r="O32" i="2"/>
  <c r="G36" i="4" l="1"/>
  <c r="F37" i="4"/>
  <c r="H36" i="4"/>
  <c r="K36" i="4" s="1"/>
  <c r="L22" i="4" s="1"/>
  <c r="M22" i="4" s="1"/>
  <c r="N35" i="4"/>
  <c r="I35" i="4"/>
  <c r="R35" i="4" s="1"/>
  <c r="E35" i="4"/>
  <c r="J21" i="4"/>
  <c r="T34" i="4"/>
  <c r="O34" i="4"/>
  <c r="M21" i="4"/>
  <c r="G35" i="2"/>
  <c r="F36" i="2"/>
  <c r="H35" i="2"/>
  <c r="K35" i="2" s="1"/>
  <c r="L21" i="2" s="1"/>
  <c r="T33" i="2"/>
  <c r="O33" i="2"/>
  <c r="J20" i="2"/>
  <c r="E34" i="2"/>
  <c r="I34" i="2"/>
  <c r="R34" i="2" s="1"/>
  <c r="N34" i="2"/>
  <c r="F38" i="4" l="1"/>
  <c r="H37" i="4"/>
  <c r="K37" i="4" s="1"/>
  <c r="L23" i="4" s="1"/>
  <c r="M23" i="4" s="1"/>
  <c r="G37" i="4"/>
  <c r="T35" i="4"/>
  <c r="O35" i="4"/>
  <c r="J22" i="4"/>
  <c r="N36" i="4"/>
  <c r="I36" i="4"/>
  <c r="R36" i="4" s="1"/>
  <c r="E36" i="4"/>
  <c r="F37" i="2"/>
  <c r="H36" i="2"/>
  <c r="K36" i="2" s="1"/>
  <c r="L22" i="2" s="1"/>
  <c r="M22" i="2" s="1"/>
  <c r="G36" i="2"/>
  <c r="J21" i="2"/>
  <c r="N35" i="2"/>
  <c r="I35" i="2"/>
  <c r="R35" i="2" s="1"/>
  <c r="E35" i="2"/>
  <c r="M21" i="2"/>
  <c r="T34" i="2"/>
  <c r="O34" i="2"/>
  <c r="T36" i="4" l="1"/>
  <c r="O36" i="4"/>
  <c r="N37" i="4"/>
  <c r="I37" i="4"/>
  <c r="R37" i="4" s="1"/>
  <c r="E37" i="4"/>
  <c r="J23" i="4"/>
  <c r="G38" i="4"/>
  <c r="H38" i="4"/>
  <c r="K38" i="4" s="1"/>
  <c r="L24" i="4" s="1"/>
  <c r="J22" i="2"/>
  <c r="I36" i="2"/>
  <c r="R36" i="2" s="1"/>
  <c r="N36" i="2"/>
  <c r="E36" i="2"/>
  <c r="T35" i="2"/>
  <c r="O35" i="2"/>
  <c r="G37" i="2"/>
  <c r="F38" i="2"/>
  <c r="H37" i="2"/>
  <c r="K37" i="2" s="1"/>
  <c r="L23" i="2" s="1"/>
  <c r="H11" i="4" l="1"/>
  <c r="N38" i="4"/>
  <c r="I38" i="4"/>
  <c r="R38" i="4" s="1"/>
  <c r="E38" i="4"/>
  <c r="J24" i="4"/>
  <c r="T37" i="4"/>
  <c r="O37" i="4"/>
  <c r="M24" i="4"/>
  <c r="L25" i="4"/>
  <c r="M25" i="4" s="1"/>
  <c r="T36" i="2"/>
  <c r="O36" i="2"/>
  <c r="J23" i="2"/>
  <c r="N37" i="2"/>
  <c r="I37" i="2"/>
  <c r="R37" i="2" s="1"/>
  <c r="E37" i="2"/>
  <c r="M23" i="2"/>
  <c r="H38" i="2"/>
  <c r="K38" i="2" s="1"/>
  <c r="L24" i="2" s="1"/>
  <c r="M24" i="2" s="1"/>
  <c r="G38" i="2"/>
  <c r="T38" i="4" l="1"/>
  <c r="O38" i="4"/>
  <c r="L25" i="2"/>
  <c r="M25" i="2" s="1"/>
  <c r="J24" i="2"/>
  <c r="I38" i="2"/>
  <c r="R38" i="2" s="1"/>
  <c r="N38" i="2"/>
  <c r="E38" i="2"/>
  <c r="H11" i="2"/>
  <c r="T37" i="2"/>
  <c r="O37" i="2"/>
  <c r="L10" i="4" l="1"/>
  <c r="O40" i="4"/>
  <c r="T38" i="2"/>
  <c r="O38" i="2"/>
  <c r="L10" i="2" s="1"/>
  <c r="S37" i="4" l="1"/>
  <c r="U37" i="4" s="1"/>
  <c r="V37" i="4" s="1"/>
  <c r="S35" i="4"/>
  <c r="U35" i="4" s="1"/>
  <c r="V35" i="4" s="1"/>
  <c r="S33" i="4"/>
  <c r="U33" i="4" s="1"/>
  <c r="V33" i="4" s="1"/>
  <c r="S31" i="4"/>
  <c r="U31" i="4" s="1"/>
  <c r="S28" i="4"/>
  <c r="L11" i="4"/>
  <c r="L12" i="4"/>
  <c r="S30" i="4"/>
  <c r="U30" i="4" s="1"/>
  <c r="V30" i="4" s="1"/>
  <c r="S39" i="4"/>
  <c r="S38" i="4"/>
  <c r="U38" i="4" s="1"/>
  <c r="V38" i="4" s="1"/>
  <c r="S36" i="4"/>
  <c r="U36" i="4" s="1"/>
  <c r="V36" i="4" s="1"/>
  <c r="S34" i="4"/>
  <c r="U34" i="4" s="1"/>
  <c r="V34" i="4" s="1"/>
  <c r="S32" i="4"/>
  <c r="U32" i="4" s="1"/>
  <c r="V32" i="4" s="1"/>
  <c r="O40" i="2"/>
  <c r="U40" i="4" l="1"/>
  <c r="V31" i="4"/>
  <c r="V40" i="4" s="1"/>
  <c r="L13" i="4" s="1"/>
  <c r="S39" i="2"/>
  <c r="L12" i="2"/>
  <c r="S38" i="2"/>
  <c r="U38" i="2" s="1"/>
  <c r="V38" i="2" s="1"/>
  <c r="S36" i="2"/>
  <c r="U36" i="2" s="1"/>
  <c r="V36" i="2" s="1"/>
  <c r="S34" i="2"/>
  <c r="U34" i="2" s="1"/>
  <c r="V34" i="2" s="1"/>
  <c r="S32" i="2"/>
  <c r="U32" i="2" s="1"/>
  <c r="V32" i="2" s="1"/>
  <c r="S37" i="2"/>
  <c r="U37" i="2" s="1"/>
  <c r="V37" i="2" s="1"/>
  <c r="S35" i="2"/>
  <c r="U35" i="2" s="1"/>
  <c r="V35" i="2" s="1"/>
  <c r="S33" i="2"/>
  <c r="U33" i="2" s="1"/>
  <c r="V33" i="2" s="1"/>
  <c r="S31" i="2"/>
  <c r="U31" i="2" s="1"/>
  <c r="S28" i="2"/>
  <c r="L11" i="2"/>
  <c r="S30" i="2"/>
  <c r="U30" i="2" s="1"/>
  <c r="V30" i="2" s="1"/>
  <c r="U40" i="2" l="1"/>
  <c r="V31" i="2"/>
  <c r="V40" i="2" s="1"/>
  <c r="L13" i="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<sst xmlns="http://schemas.openxmlformats.org/spreadsheetml/2006/main" count="82" uniqueCount="45">
  <si>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</si>
  <si>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</si>
  <si>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</si>
  <si>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</si>
  <si>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</si>
  <si>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</si>
  <si>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</si>
  <si>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</si>
  <si>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</si>
  <si>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</si>
  <si>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V/N:</t>
  </si>
  <si>
    <t>Duration (meses):</t>
  </si>
  <si>
    <t>Margen a Licitar</t>
  </si>
  <si>
    <t>Fecha: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</si>
  <si>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</si>
  <si>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</si>
  <si>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</si>
  <si>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</si>
  <si>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</si>
  <si>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</si>
  <si>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</si>
  <si>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</si>
  <si>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</si>
  <si>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</si>
  <si>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</si>
  <si>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</si>
  <si>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</si>
  <si>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</si>
  <si>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</si>
  <si>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</si>
  <si>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</si>
  <si>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</si>
  <si>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</si>
  <si>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</si>
  <si>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</si>
  <si>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</si>
  <si>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</si>
  <si>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</si>
  <si>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</si>
  <si>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Dólar Linked</t>
  </si>
  <si>
    <t>TC de Integración:</t>
  </si>
  <si>
    <t>Cupón a Licitar:</t>
  </si>
  <si>
    <t>Fijo a licitar</t>
  </si>
  <si>
    <t>ON Pyme CNV Garantizadas Alfredo José S.A .Serie I - Clase I</t>
  </si>
  <si>
    <t>ON Pyme CNV Garantizadas Alfredo José S.A. Serie I - Clase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</si>
</sst>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74" formatCode="#,##0.00000_ ;[Red]\-#,##0.00000\ "/>
    <numFmt numFmtId="175" formatCode="#,##0.0000;[Red]\-#,##0.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0" fontId="5" fillId="2" borderId="4" xfId="1" applyFont="1" applyFill="1" applyBorder="1" applyAlignment="1" applyProtection="1">
      <alignment horizontal="right"/>
    </xf>
    <xf numFmtId="165" fontId="2" fillId="3" borderId="0" xfId="1" applyNumberFormat="1" applyFont="1" applyFill="1" applyBorder="1" applyProtection="1"/>
    <xf numFmtId="0" fontId="5" fillId="2" borderId="7" xfId="1" applyFont="1" applyFill="1" applyBorder="1" applyAlignment="1" applyProtection="1">
      <alignment horizontal="right"/>
    </xf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0" fontId="6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9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10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70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8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9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71" fontId="7" fillId="3" borderId="0" xfId="1" applyNumberFormat="1" applyFont="1" applyFill="1" applyBorder="1" applyAlignment="1" applyProtection="1">
      <alignment horizontal="center" vertical="center"/>
    </xf>
    <xf numFmtId="171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2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4" fontId="2" fillId="3" borderId="0" xfId="1" applyNumberFormat="1" applyFont="1" applyFill="1" applyAlignment="1" applyProtection="1">
      <alignment horizontal="center" vertical="center"/>
    </xf>
    <xf numFmtId="15" fontId="2" fillId="2" borderId="16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3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65" fontId="5" fillId="4" borderId="13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170" fontId="2" fillId="0" borderId="0" xfId="1" applyNumberFormat="1" applyFont="1" applyProtection="1"/>
    <xf numFmtId="172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3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7" xfId="1" applyNumberFormat="1" applyFont="1" applyBorder="1" applyAlignment="1" applyProtection="1">
      <alignment horizontal="center"/>
    </xf>
    <xf numFmtId="38" fontId="5" fillId="0" borderId="17" xfId="1" applyNumberFormat="1" applyFont="1" applyBorder="1" applyAlignment="1" applyProtection="1">
      <alignment horizontal="center"/>
    </xf>
    <xf numFmtId="171" fontId="2" fillId="3" borderId="0" xfId="1" applyNumberFormat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175" fontId="2" fillId="2" borderId="0" xfId="1" applyNumberFormat="1" applyFont="1" applyFill="1" applyBorder="1" applyAlignment="1" applyProtection="1">
      <alignment horizontal="center"/>
    </xf>
    <xf numFmtId="175" fontId="2" fillId="2" borderId="12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7" fontId="6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</cellXfs>
  <cellStyles count="5"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152400</xdr:colOff>
      <xdr:row>2</xdr:row>
      <xdr:rowOff>66676</xdr:rowOff>
    </xdr:from>
    <xdr:to>
      <xdr:col>10</xdr:col>
      <xdr:colOff>744751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765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409576</xdr:colOff>
      <xdr:row>0</xdr:row>
      <xdr:rowOff>114300</xdr:rowOff>
    </xdr:from>
    <xdr:to>
      <xdr:col>12</xdr:col>
      <xdr:colOff>379686</xdr:colOff>
      <xdr:row>6</xdr:row>
      <xdr:rowOff>76334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1" t="-1000" r="41508"/>
        <a:stretch/>
      </xdr:blipFill>
      <xdr:spPr>
        <a:xfrm>
          <a:off x="5010151" y="114300"/>
          <a:ext cx="827360" cy="819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0</xdr:row>
      <xdr:rowOff>114300</xdr:rowOff>
    </xdr:from>
    <xdr:to>
      <xdr:col>12</xdr:col>
      <xdr:colOff>408260</xdr:colOff>
      <xdr:row>6</xdr:row>
      <xdr:rowOff>76334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1" t="-1000" r="41508"/>
        <a:stretch/>
      </xdr:blipFill>
      <xdr:spPr>
        <a:xfrm>
          <a:off x="5038725" y="114300"/>
          <a:ext cx="827360" cy="819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topLeftCell="A7" zoomScaleNormal="100" zoomScaleSheetLayoutView="130" workbookViewId="0">
      <selection activeCell="P20" sqref="P20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5" t="s">
        <v>43</v>
      </c>
      <c r="H8" s="96"/>
      <c r="I8" s="96"/>
      <c r="J8" s="96"/>
      <c r="K8" s="96"/>
      <c r="L8" s="96"/>
      <c r="M8" s="96"/>
      <c r="N8" s="96"/>
      <c r="O8" s="96"/>
      <c r="P8" s="97"/>
      <c r="Q8" s="9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8" t="s">
        <v>0</v>
      </c>
      <c r="H10" s="99">
        <v>44902</v>
      </c>
      <c r="I10" s="100"/>
      <c r="J10" s="101" t="s">
        <v>1</v>
      </c>
      <c r="K10" s="102"/>
      <c r="L10" s="103">
        <f>XIRR(O30:O38,E30:E38)</f>
        <v>0.89798728227615343</v>
      </c>
      <c r="M10" s="104"/>
      <c r="N10" s="101" t="s">
        <v>2</v>
      </c>
      <c r="O10" s="102"/>
      <c r="P10" s="103" t="s">
        <v>3</v>
      </c>
      <c r="Q10" s="104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10" t="s">
        <v>4</v>
      </c>
      <c r="H11" s="111">
        <f>+G38</f>
        <v>45633</v>
      </c>
      <c r="I11" s="112"/>
      <c r="J11" s="107" t="s">
        <v>5</v>
      </c>
      <c r="K11" s="108"/>
      <c r="L11" s="105">
        <f>+(($L$10+1)^(0.0833333333333)-1)*12</f>
        <v>0.6582116865583405</v>
      </c>
      <c r="M11" s="106"/>
      <c r="N11" s="107" t="s">
        <v>6</v>
      </c>
      <c r="O11" s="108"/>
      <c r="P11" s="105">
        <v>1</v>
      </c>
      <c r="Q11" s="1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10" t="s">
        <v>7</v>
      </c>
      <c r="H12" s="105" t="s">
        <v>8</v>
      </c>
      <c r="I12" s="106"/>
      <c r="J12" s="107" t="s">
        <v>9</v>
      </c>
      <c r="K12" s="108"/>
      <c r="L12" s="105">
        <f>+(($L$10+1)^(0.25)-1)*4</f>
        <v>0.69497534358187085</v>
      </c>
      <c r="M12" s="106"/>
      <c r="N12" s="107" t="s">
        <v>10</v>
      </c>
      <c r="O12" s="108"/>
      <c r="P12" s="109">
        <v>125000000</v>
      </c>
      <c r="Q12" s="110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/>
      <c r="H13" s="124"/>
      <c r="I13" s="125"/>
      <c r="J13" s="107" t="s">
        <v>11</v>
      </c>
      <c r="K13" s="108"/>
      <c r="L13" s="126">
        <f>+(V40/U40)*12</f>
        <v>13.626698900306465</v>
      </c>
      <c r="M13" s="127"/>
      <c r="N13" s="128" t="s">
        <v>12</v>
      </c>
      <c r="O13" s="129"/>
      <c r="P13" s="130">
        <v>0</v>
      </c>
      <c r="Q13" s="131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15" t="s">
        <v>13</v>
      </c>
      <c r="H14" s="114">
        <f>+$H$10</f>
        <v>44902</v>
      </c>
      <c r="I14" s="115"/>
      <c r="J14" s="116" t="s">
        <v>14</v>
      </c>
      <c r="K14" s="117"/>
      <c r="L14" s="118">
        <f>+D39</f>
        <v>24</v>
      </c>
      <c r="M14" s="119"/>
      <c r="N14" s="120" t="s">
        <v>15</v>
      </c>
      <c r="O14" s="121"/>
      <c r="P14" s="122" t="s">
        <v>16</v>
      </c>
      <c r="Q14" s="123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17</v>
      </c>
      <c r="K16" s="21" t="s">
        <v>18</v>
      </c>
      <c r="L16" s="22" t="s">
        <v>19</v>
      </c>
      <c r="M16" s="23" t="s">
        <v>20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+G31</f>
        <v>44992</v>
      </c>
      <c r="K17" s="25">
        <f>+$P$12*L31/100</f>
        <v>0</v>
      </c>
      <c r="L17" s="26">
        <f>+$P$12*K31/100</f>
        <v>21421232.87671233</v>
      </c>
      <c r="M17" s="27">
        <f>SUM(K17:L17)</f>
        <v>21421232.87671233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:J24" si="0">+G32</f>
        <v>45084</v>
      </c>
      <c r="K18" s="25">
        <f t="shared" ref="K18:K24" si="1">+$P$12*L32/100</f>
        <v>0</v>
      </c>
      <c r="L18" s="26">
        <f t="shared" ref="L18:L24" si="2">+$P$12*K32/100</f>
        <v>21897260.273972601</v>
      </c>
      <c r="M18" s="27">
        <f t="shared" ref="M18:M24" si="3">SUM(K18:L18)</f>
        <v>21897260.273972601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 t="shared" si="0"/>
        <v>45176</v>
      </c>
      <c r="K19" s="25">
        <f t="shared" si="1"/>
        <v>0</v>
      </c>
      <c r="L19" s="26">
        <f t="shared" si="2"/>
        <v>21897260.273972601</v>
      </c>
      <c r="M19" s="27">
        <f t="shared" si="3"/>
        <v>21897260.273972601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24">
        <f t="shared" si="0"/>
        <v>45267</v>
      </c>
      <c r="K20" s="25">
        <f t="shared" si="1"/>
        <v>0</v>
      </c>
      <c r="L20" s="26">
        <f t="shared" si="2"/>
        <v>21659246.575342465</v>
      </c>
      <c r="M20" s="27">
        <f t="shared" si="3"/>
        <v>21659246.575342465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24">
        <f t="shared" si="0"/>
        <v>45358</v>
      </c>
      <c r="K21" s="25">
        <f t="shared" si="1"/>
        <v>0</v>
      </c>
      <c r="L21" s="26">
        <f t="shared" si="2"/>
        <v>21659246.575342465</v>
      </c>
      <c r="M21" s="27">
        <f t="shared" si="3"/>
        <v>21659246.575342465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24">
        <f t="shared" si="0"/>
        <v>45450</v>
      </c>
      <c r="K22" s="25">
        <f t="shared" si="1"/>
        <v>41250000</v>
      </c>
      <c r="L22" s="26">
        <f t="shared" si="2"/>
        <v>21897260.273972601</v>
      </c>
      <c r="M22" s="27">
        <f t="shared" si="3"/>
        <v>63147260.273972601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4">
        <f t="shared" si="0"/>
        <v>45542</v>
      </c>
      <c r="K23" s="25">
        <f t="shared" si="1"/>
        <v>41250000</v>
      </c>
      <c r="L23" s="26">
        <f t="shared" si="2"/>
        <v>14671164.383561645</v>
      </c>
      <c r="M23" s="27">
        <f t="shared" si="3"/>
        <v>55921164.383561641</v>
      </c>
      <c r="N23" s="19"/>
      <c r="O23" s="28"/>
      <c r="S23" s="12"/>
      <c r="Y23" s="5"/>
      <c r="Z23" s="5"/>
      <c r="AA23" s="5"/>
      <c r="AB23" s="5"/>
      <c r="AC23" s="5"/>
      <c r="AD23" s="5"/>
      <c r="AE23" s="5"/>
      <c r="AF23" s="5"/>
      <c r="AG23" s="2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24">
        <f t="shared" si="0"/>
        <v>45633</v>
      </c>
      <c r="K24" s="25">
        <f t="shared" si="1"/>
        <v>42500000</v>
      </c>
      <c r="L24" s="26">
        <f t="shared" si="2"/>
        <v>7364143.8356164386</v>
      </c>
      <c r="M24" s="27">
        <f t="shared" si="3"/>
        <v>49864143.83561644</v>
      </c>
      <c r="N24" s="19"/>
      <c r="P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31" t="s">
        <v>20</v>
      </c>
      <c r="K25" s="32">
        <f>SUM(K17:K24)</f>
        <v>125000000</v>
      </c>
      <c r="L25" s="33">
        <f>SUM(L17:L24)</f>
        <v>152466815.06849316</v>
      </c>
      <c r="M25" s="34">
        <f>SUM(K25:L25)</f>
        <v>277466815.06849313</v>
      </c>
      <c r="N25" s="19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35"/>
      <c r="I26" s="17"/>
      <c r="J26" s="17"/>
      <c r="M26" s="18"/>
      <c r="N26" s="19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138" t="s">
        <v>21</v>
      </c>
      <c r="H27" s="140" t="s">
        <v>22</v>
      </c>
      <c r="I27" s="140" t="s">
        <v>23</v>
      </c>
      <c r="J27" s="140" t="s">
        <v>24</v>
      </c>
      <c r="K27" s="132" t="s">
        <v>25</v>
      </c>
      <c r="L27" s="132" t="s">
        <v>26</v>
      </c>
      <c r="M27" s="132" t="s">
        <v>27</v>
      </c>
      <c r="N27" s="134" t="s">
        <v>28</v>
      </c>
      <c r="O27" s="136" t="s">
        <v>29</v>
      </c>
      <c r="P27" s="136" t="s">
        <v>30</v>
      </c>
      <c r="R27" s="36" t="s">
        <v>31</v>
      </c>
      <c r="S27" s="36" t="s">
        <v>32</v>
      </c>
      <c r="T27" s="36" t="s">
        <v>33</v>
      </c>
      <c r="U27" s="36" t="s">
        <v>34</v>
      </c>
      <c r="V27" s="36" t="s">
        <v>35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ht="11.25" customHeight="1" x14ac:dyDescent="0.2">
      <c r="G28" s="139"/>
      <c r="H28" s="141"/>
      <c r="I28" s="141"/>
      <c r="J28" s="141"/>
      <c r="K28" s="133"/>
      <c r="L28" s="133"/>
      <c r="M28" s="133"/>
      <c r="N28" s="135"/>
      <c r="O28" s="137"/>
      <c r="P28" s="137"/>
      <c r="R28" s="37"/>
      <c r="S28" s="38">
        <f>+L10</f>
        <v>0.89798728227615343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2:145" x14ac:dyDescent="0.2">
      <c r="B29" s="1" t="s">
        <v>36</v>
      </c>
      <c r="C29" s="39" t="s">
        <v>37</v>
      </c>
      <c r="D29" s="39" t="s">
        <v>38</v>
      </c>
      <c r="G29" s="40"/>
      <c r="H29" s="41"/>
      <c r="I29" s="41"/>
      <c r="J29" s="42">
        <f>+J30</f>
        <v>0</v>
      </c>
      <c r="K29" s="43"/>
      <c r="L29" s="43"/>
      <c r="M29" s="44">
        <f>+M30</f>
        <v>100</v>
      </c>
      <c r="N29" s="45"/>
      <c r="O29" s="46"/>
      <c r="R29" s="37"/>
      <c r="S29" s="3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s="60" customFormat="1" ht="12.75" customHeight="1" x14ac:dyDescent="0.2">
      <c r="B30" s="94">
        <f>+H10</f>
        <v>44902</v>
      </c>
      <c r="C30" s="48"/>
      <c r="D30" s="48"/>
      <c r="E30" s="49">
        <f>+H14</f>
        <v>44902</v>
      </c>
      <c r="F30" s="50">
        <f>+H10</f>
        <v>44902</v>
      </c>
      <c r="G30" s="51">
        <f>+F30</f>
        <v>44902</v>
      </c>
      <c r="H30" s="52"/>
      <c r="I30" s="53"/>
      <c r="J30" s="54">
        <f>+$P$13</f>
        <v>0</v>
      </c>
      <c r="K30" s="53"/>
      <c r="L30" s="53"/>
      <c r="M30" s="55">
        <v>100</v>
      </c>
      <c r="N30" s="55">
        <f>+P11*100</f>
        <v>100</v>
      </c>
      <c r="O30" s="56">
        <f>-(P12*P11)</f>
        <v>-125000000</v>
      </c>
      <c r="P30" s="56"/>
      <c r="Q30" s="1"/>
      <c r="R30" s="57">
        <f t="shared" ref="R30:R39" si="4">I30/365</f>
        <v>0</v>
      </c>
      <c r="S30" s="57">
        <f t="shared" ref="S30:S39" si="5">1/(1+$L$10)^(I30/365)</f>
        <v>1</v>
      </c>
      <c r="T30" s="58">
        <f t="shared" ref="T30:T38" si="6">+N30</f>
        <v>100</v>
      </c>
      <c r="U30" s="58">
        <f t="shared" ref="U30:U38" si="7">+T30*S30</f>
        <v>100</v>
      </c>
      <c r="V30" s="58">
        <f t="shared" ref="V30:V38" si="8">+U30*R30</f>
        <v>0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</row>
    <row r="31" spans="2:145" s="60" customFormat="1" ht="12.75" customHeight="1" x14ac:dyDescent="0.2">
      <c r="B31" s="47">
        <v>44992</v>
      </c>
      <c r="C31" s="48">
        <f>+B31-B30</f>
        <v>90</v>
      </c>
      <c r="D31" s="61">
        <f t="shared" ref="D31:D33" si="9">+ROUND(C31/30.5,0)</f>
        <v>3</v>
      </c>
      <c r="E31" s="49">
        <f t="shared" ref="E31:E38" si="10">+G31</f>
        <v>44992</v>
      </c>
      <c r="F31" s="50">
        <f>+F30+C31</f>
        <v>44992</v>
      </c>
      <c r="G31" s="62">
        <f t="shared" ref="G31:G38" si="11">+F31</f>
        <v>44992</v>
      </c>
      <c r="H31" s="52">
        <f t="shared" ref="H31:H33" si="12">+F31-F30</f>
        <v>90</v>
      </c>
      <c r="I31" s="52">
        <f t="shared" ref="I31:I38" si="13">+IF(G31-$H$14&lt;0,0,G31-$H$14)</f>
        <v>90</v>
      </c>
      <c r="J31" s="63">
        <f>+P31+$P$13</f>
        <v>0.69499999999999995</v>
      </c>
      <c r="K31" s="64">
        <f>+J31/365*H31*M30</f>
        <v>17.136986301369863</v>
      </c>
      <c r="L31" s="65">
        <v>0</v>
      </c>
      <c r="M31" s="65">
        <f>+M30-L31</f>
        <v>100</v>
      </c>
      <c r="N31" s="92">
        <f t="shared" ref="N31:N38" si="14">+IF(G31&gt;$H$14,K31+L31,0)</f>
        <v>17.136986301369863</v>
      </c>
      <c r="O31" s="66">
        <f t="shared" ref="O31:O38" si="15">+N31*$P$12/100</f>
        <v>21421232.87671233</v>
      </c>
      <c r="P31" s="67">
        <v>0.69499999999999995</v>
      </c>
      <c r="Q31" s="1"/>
      <c r="R31" s="57">
        <f t="shared" si="4"/>
        <v>0.24657534246575341</v>
      </c>
      <c r="S31" s="57">
        <f t="shared" si="5"/>
        <v>0.85384636666604929</v>
      </c>
      <c r="T31" s="58">
        <f t="shared" si="6"/>
        <v>17.136986301369863</v>
      </c>
      <c r="U31" s="68">
        <f t="shared" si="7"/>
        <v>14.632353489030516</v>
      </c>
      <c r="V31" s="58">
        <f t="shared" si="8"/>
        <v>3.6079775726376613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</row>
    <row r="32" spans="2:145" s="60" customFormat="1" ht="12.75" customHeight="1" x14ac:dyDescent="0.2">
      <c r="B32" s="47">
        <v>45084</v>
      </c>
      <c r="C32" s="48">
        <f t="shared" ref="C32:C38" si="16">+B32-B31</f>
        <v>92</v>
      </c>
      <c r="D32" s="61">
        <f t="shared" si="9"/>
        <v>3</v>
      </c>
      <c r="E32" s="49">
        <f t="shared" si="10"/>
        <v>45084</v>
      </c>
      <c r="F32" s="50">
        <f t="shared" ref="F32:F38" si="17">+F31+C32</f>
        <v>45084</v>
      </c>
      <c r="G32" s="62">
        <f t="shared" si="11"/>
        <v>45084</v>
      </c>
      <c r="H32" s="52">
        <f t="shared" si="12"/>
        <v>92</v>
      </c>
      <c r="I32" s="52">
        <f t="shared" si="13"/>
        <v>182</v>
      </c>
      <c r="J32" s="63">
        <f t="shared" ref="J32:J38" si="18">+P32+$P$13</f>
        <v>0.69499999999999995</v>
      </c>
      <c r="K32" s="64">
        <f t="shared" ref="K32:K38" si="19">+J32/365*H32*M31</f>
        <v>17.517808219178082</v>
      </c>
      <c r="L32" s="65">
        <v>0</v>
      </c>
      <c r="M32" s="65">
        <f t="shared" ref="M32:M38" si="20">+M31-L32</f>
        <v>100</v>
      </c>
      <c r="N32" s="92">
        <f t="shared" si="14"/>
        <v>17.517808219178082</v>
      </c>
      <c r="O32" s="66">
        <f t="shared" si="15"/>
        <v>21897260.273972601</v>
      </c>
      <c r="P32" s="67">
        <f>+$P$31</f>
        <v>0.69499999999999995</v>
      </c>
      <c r="Q32" s="1"/>
      <c r="R32" s="57">
        <f t="shared" si="4"/>
        <v>0.49863013698630138</v>
      </c>
      <c r="S32" s="57">
        <f t="shared" si="5"/>
        <v>0.72649825363023401</v>
      </c>
      <c r="T32" s="58">
        <f t="shared" si="6"/>
        <v>17.517808219178082</v>
      </c>
      <c r="U32" s="68">
        <f t="shared" si="7"/>
        <v>12.726657078662237</v>
      </c>
      <c r="V32" s="58">
        <f t="shared" si="8"/>
        <v>6.3458947625110333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</row>
    <row r="33" spans="2:145" s="60" customFormat="1" ht="12.75" customHeight="1" x14ac:dyDescent="0.2">
      <c r="B33" s="47">
        <v>45176</v>
      </c>
      <c r="C33" s="48">
        <f t="shared" si="16"/>
        <v>92</v>
      </c>
      <c r="D33" s="61">
        <f t="shared" si="9"/>
        <v>3</v>
      </c>
      <c r="E33" s="49">
        <f t="shared" si="10"/>
        <v>45176</v>
      </c>
      <c r="F33" s="50">
        <f t="shared" si="17"/>
        <v>45176</v>
      </c>
      <c r="G33" s="62">
        <f t="shared" si="11"/>
        <v>45176</v>
      </c>
      <c r="H33" s="52">
        <f t="shared" si="12"/>
        <v>92</v>
      </c>
      <c r="I33" s="52">
        <f t="shared" si="13"/>
        <v>274</v>
      </c>
      <c r="J33" s="63">
        <f t="shared" si="18"/>
        <v>0.69499999999999995</v>
      </c>
      <c r="K33" s="64">
        <f t="shared" si="19"/>
        <v>17.517808219178082</v>
      </c>
      <c r="L33" s="65">
        <v>0</v>
      </c>
      <c r="M33" s="65">
        <f t="shared" si="20"/>
        <v>100</v>
      </c>
      <c r="N33" s="92">
        <f t="shared" si="14"/>
        <v>17.517808219178082</v>
      </c>
      <c r="O33" s="66">
        <f t="shared" si="15"/>
        <v>21897260.273972601</v>
      </c>
      <c r="P33" s="67">
        <f t="shared" ref="P33:P38" si="21">+$P$31</f>
        <v>0.69499999999999995</v>
      </c>
      <c r="Q33" s="1"/>
      <c r="R33" s="57">
        <f t="shared" si="4"/>
        <v>0.75068493150684934</v>
      </c>
      <c r="S33" s="57">
        <f t="shared" si="5"/>
        <v>0.61814365339357291</v>
      </c>
      <c r="T33" s="58">
        <f t="shared" si="6"/>
        <v>17.517808219178082</v>
      </c>
      <c r="U33" s="68">
        <f t="shared" si="7"/>
        <v>10.8285219720507</v>
      </c>
      <c r="V33" s="58">
        <f t="shared" si="8"/>
        <v>8.1288082749092929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</row>
    <row r="34" spans="2:145" s="60" customFormat="1" ht="12.75" customHeight="1" x14ac:dyDescent="0.2">
      <c r="B34" s="47">
        <v>45267</v>
      </c>
      <c r="C34" s="48">
        <f t="shared" si="16"/>
        <v>91</v>
      </c>
      <c r="D34" s="61">
        <f>+ROUND(C34/30.5,0)</f>
        <v>3</v>
      </c>
      <c r="E34" s="49">
        <f t="shared" si="10"/>
        <v>45267</v>
      </c>
      <c r="F34" s="50">
        <f t="shared" si="17"/>
        <v>45267</v>
      </c>
      <c r="G34" s="62">
        <f t="shared" si="11"/>
        <v>45267</v>
      </c>
      <c r="H34" s="52">
        <f>+F34-F33</f>
        <v>91</v>
      </c>
      <c r="I34" s="52">
        <f t="shared" si="13"/>
        <v>365</v>
      </c>
      <c r="J34" s="63">
        <f t="shared" si="18"/>
        <v>0.69499999999999995</v>
      </c>
      <c r="K34" s="64">
        <f t="shared" si="19"/>
        <v>17.327397260273973</v>
      </c>
      <c r="L34" s="65">
        <v>0</v>
      </c>
      <c r="M34" s="65">
        <f t="shared" si="20"/>
        <v>100</v>
      </c>
      <c r="N34" s="92">
        <f t="shared" si="14"/>
        <v>17.327397260273973</v>
      </c>
      <c r="O34" s="66">
        <f t="shared" si="15"/>
        <v>21659246.575342465</v>
      </c>
      <c r="P34" s="67">
        <f t="shared" si="21"/>
        <v>0.69499999999999995</v>
      </c>
      <c r="Q34" s="1"/>
      <c r="R34" s="57">
        <f t="shared" si="4"/>
        <v>1</v>
      </c>
      <c r="S34" s="57">
        <f t="shared" si="5"/>
        <v>0.52687392025132751</v>
      </c>
      <c r="T34" s="58">
        <f t="shared" si="6"/>
        <v>17.327397260273973</v>
      </c>
      <c r="U34" s="68">
        <f t="shared" si="7"/>
        <v>9.1293537222726595</v>
      </c>
      <c r="V34" s="58">
        <f t="shared" si="8"/>
        <v>9.1293537222726595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45358</v>
      </c>
      <c r="C35" s="48">
        <f t="shared" si="16"/>
        <v>91</v>
      </c>
      <c r="D35" s="61">
        <f t="shared" ref="D35:D38" si="22">+ROUND(C35/30.5,0)</f>
        <v>3</v>
      </c>
      <c r="E35" s="49">
        <f t="shared" si="10"/>
        <v>45358</v>
      </c>
      <c r="F35" s="50">
        <f t="shared" si="17"/>
        <v>45358</v>
      </c>
      <c r="G35" s="62">
        <f t="shared" si="11"/>
        <v>45358</v>
      </c>
      <c r="H35" s="52">
        <f t="shared" ref="H35:H38" si="23">+F35-F34</f>
        <v>91</v>
      </c>
      <c r="I35" s="52">
        <f t="shared" si="13"/>
        <v>456</v>
      </c>
      <c r="J35" s="63">
        <f t="shared" si="18"/>
        <v>0.69499999999999995</v>
      </c>
      <c r="K35" s="64">
        <f t="shared" si="19"/>
        <v>17.327397260273973</v>
      </c>
      <c r="L35" s="65">
        <v>0</v>
      </c>
      <c r="M35" s="65">
        <f t="shared" si="20"/>
        <v>100</v>
      </c>
      <c r="N35" s="92">
        <f t="shared" si="14"/>
        <v>17.327397260273973</v>
      </c>
      <c r="O35" s="66">
        <f t="shared" si="15"/>
        <v>21659246.575342465</v>
      </c>
      <c r="P35" s="67">
        <f t="shared" si="21"/>
        <v>0.69499999999999995</v>
      </c>
      <c r="Q35" s="1"/>
      <c r="R35" s="57">
        <f t="shared" si="4"/>
        <v>1.2493150684931507</v>
      </c>
      <c r="S35" s="57">
        <f t="shared" si="5"/>
        <v>0.44908028468304345</v>
      </c>
      <c r="T35" s="58">
        <f t="shared" si="6"/>
        <v>17.327397260273973</v>
      </c>
      <c r="U35" s="68">
        <f t="shared" si="7"/>
        <v>7.7813924944600226</v>
      </c>
      <c r="V35" s="58">
        <f t="shared" si="8"/>
        <v>9.7214108971884112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45450</v>
      </c>
      <c r="C36" s="48">
        <f t="shared" si="16"/>
        <v>92</v>
      </c>
      <c r="D36" s="61">
        <f t="shared" si="22"/>
        <v>3</v>
      </c>
      <c r="E36" s="49">
        <f t="shared" si="10"/>
        <v>45450</v>
      </c>
      <c r="F36" s="50">
        <f t="shared" si="17"/>
        <v>45450</v>
      </c>
      <c r="G36" s="62">
        <f t="shared" si="11"/>
        <v>45450</v>
      </c>
      <c r="H36" s="52">
        <f t="shared" si="23"/>
        <v>92</v>
      </c>
      <c r="I36" s="52">
        <f t="shared" si="13"/>
        <v>548</v>
      </c>
      <c r="J36" s="63">
        <f t="shared" si="18"/>
        <v>0.69499999999999995</v>
      </c>
      <c r="K36" s="64">
        <f t="shared" si="19"/>
        <v>17.517808219178082</v>
      </c>
      <c r="L36" s="65">
        <v>33</v>
      </c>
      <c r="M36" s="65">
        <f t="shared" si="20"/>
        <v>67</v>
      </c>
      <c r="N36" s="92">
        <f t="shared" si="14"/>
        <v>50.517808219178079</v>
      </c>
      <c r="O36" s="66">
        <f t="shared" si="15"/>
        <v>63147260.273972601</v>
      </c>
      <c r="P36" s="67">
        <f t="shared" si="21"/>
        <v>0.69499999999999995</v>
      </c>
      <c r="Q36" s="1"/>
      <c r="R36" s="57">
        <f t="shared" si="4"/>
        <v>1.5013698630136987</v>
      </c>
      <c r="S36" s="57">
        <f t="shared" si="5"/>
        <v>0.38210157623075358</v>
      </c>
      <c r="T36" s="58">
        <f t="shared" si="6"/>
        <v>50.517808219178079</v>
      </c>
      <c r="U36" s="68">
        <f t="shared" si="7"/>
        <v>19.302934148270861</v>
      </c>
      <c r="V36" s="58">
        <f t="shared" si="8"/>
        <v>28.980843597951868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45542</v>
      </c>
      <c r="C37" s="48">
        <f t="shared" si="16"/>
        <v>92</v>
      </c>
      <c r="D37" s="61">
        <f t="shared" si="22"/>
        <v>3</v>
      </c>
      <c r="E37" s="49">
        <f t="shared" si="10"/>
        <v>45542</v>
      </c>
      <c r="F37" s="50">
        <f t="shared" si="17"/>
        <v>45542</v>
      </c>
      <c r="G37" s="62">
        <f t="shared" si="11"/>
        <v>45542</v>
      </c>
      <c r="H37" s="52">
        <f t="shared" si="23"/>
        <v>92</v>
      </c>
      <c r="I37" s="52">
        <f t="shared" si="13"/>
        <v>640</v>
      </c>
      <c r="J37" s="63">
        <f t="shared" si="18"/>
        <v>0.69499999999999995</v>
      </c>
      <c r="K37" s="64">
        <f t="shared" si="19"/>
        <v>11.736931506849315</v>
      </c>
      <c r="L37" s="65">
        <v>33</v>
      </c>
      <c r="M37" s="65">
        <f t="shared" si="20"/>
        <v>34</v>
      </c>
      <c r="N37" s="92">
        <f t="shared" si="14"/>
        <v>44.736931506849317</v>
      </c>
      <c r="O37" s="66">
        <f t="shared" si="15"/>
        <v>55921164.383561648</v>
      </c>
      <c r="P37" s="67">
        <f t="shared" si="21"/>
        <v>0.69499999999999995</v>
      </c>
      <c r="Q37" s="1"/>
      <c r="R37" s="57">
        <f t="shared" si="4"/>
        <v>1.7534246575342465</v>
      </c>
      <c r="S37" s="57">
        <f t="shared" si="5"/>
        <v>0.3251125011223171</v>
      </c>
      <c r="T37" s="58">
        <f t="shared" si="6"/>
        <v>44.736931506849317</v>
      </c>
      <c r="U37" s="68">
        <f t="shared" si="7"/>
        <v>14.544535694729571</v>
      </c>
      <c r="V37" s="58">
        <f t="shared" si="8"/>
        <v>25.502747519525823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45633</v>
      </c>
      <c r="C38" s="48">
        <f t="shared" si="16"/>
        <v>91</v>
      </c>
      <c r="D38" s="61">
        <f t="shared" si="22"/>
        <v>3</v>
      </c>
      <c r="E38" s="49">
        <f t="shared" si="10"/>
        <v>45633</v>
      </c>
      <c r="F38" s="50">
        <f t="shared" si="17"/>
        <v>45633</v>
      </c>
      <c r="G38" s="69">
        <f t="shared" si="11"/>
        <v>45633</v>
      </c>
      <c r="H38" s="70">
        <f t="shared" si="23"/>
        <v>91</v>
      </c>
      <c r="I38" s="70">
        <f t="shared" si="13"/>
        <v>731</v>
      </c>
      <c r="J38" s="71">
        <f t="shared" si="18"/>
        <v>0.69499999999999995</v>
      </c>
      <c r="K38" s="72">
        <f t="shared" si="19"/>
        <v>5.8913150684931503</v>
      </c>
      <c r="L38" s="73">
        <v>34</v>
      </c>
      <c r="M38" s="73">
        <f t="shared" si="20"/>
        <v>0</v>
      </c>
      <c r="N38" s="93">
        <f t="shared" si="14"/>
        <v>39.891315068493149</v>
      </c>
      <c r="O38" s="74">
        <f t="shared" si="15"/>
        <v>49864143.83561644</v>
      </c>
      <c r="P38" s="75">
        <f t="shared" si="21"/>
        <v>0.69499999999999995</v>
      </c>
      <c r="Q38" s="76"/>
      <c r="R38" s="57">
        <f t="shared" si="4"/>
        <v>2.0027397260273974</v>
      </c>
      <c r="S38" s="57">
        <f t="shared" si="5"/>
        <v>0.27710920762291902</v>
      </c>
      <c r="T38" s="58">
        <f t="shared" si="6"/>
        <v>39.891315068493149</v>
      </c>
      <c r="U38" s="68">
        <f t="shared" si="7"/>
        <v>11.054250709666347</v>
      </c>
      <c r="V38" s="58">
        <f t="shared" si="8"/>
        <v>22.138787037715343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ht="12.75" customHeight="1" x14ac:dyDescent="0.2">
      <c r="C39" s="77">
        <f>SUM(C31:C38)</f>
        <v>731</v>
      </c>
      <c r="D39" s="78">
        <f>SUM(D31:D38)</f>
        <v>24</v>
      </c>
      <c r="G39" s="79"/>
      <c r="H39" s="80"/>
      <c r="I39" s="81"/>
      <c r="J39" s="63"/>
      <c r="K39" s="82"/>
      <c r="L39" s="83"/>
      <c r="M39" s="81"/>
      <c r="N39" s="81"/>
      <c r="O39" s="84"/>
      <c r="Q39" s="76"/>
      <c r="R39" s="1">
        <f t="shared" si="4"/>
        <v>0</v>
      </c>
      <c r="S39" s="1">
        <f t="shared" si="5"/>
        <v>1</v>
      </c>
      <c r="T39" s="58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85"/>
      <c r="H40" s="80"/>
      <c r="I40" s="80"/>
      <c r="J40" s="80"/>
      <c r="K40" s="80"/>
      <c r="L40" s="86">
        <f>SUM(L34:L38)</f>
        <v>100</v>
      </c>
      <c r="M40" s="81"/>
      <c r="N40" s="81"/>
      <c r="O40" s="87">
        <f>SUM(O30:O38)</f>
        <v>152466815.06849313</v>
      </c>
      <c r="Q40" s="76"/>
      <c r="R40" s="88"/>
      <c r="S40" s="88"/>
      <c r="T40" s="58"/>
      <c r="U40" s="58">
        <f>SUM(U31:U38)</f>
        <v>99.999999309142922</v>
      </c>
      <c r="V40" s="58">
        <f>SUM(V31:V38)</f>
        <v>113.5558233847121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12"/>
  <sheetViews>
    <sheetView showGridLines="0" tabSelected="1" zoomScaleNormal="100" zoomScaleSheetLayoutView="130" workbookViewId="0">
      <selection activeCell="X20" sqref="X20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95" t="s">
        <v>44</v>
      </c>
      <c r="H8" s="96"/>
      <c r="I8" s="96"/>
      <c r="J8" s="96"/>
      <c r="K8" s="96"/>
      <c r="L8" s="96"/>
      <c r="M8" s="96"/>
      <c r="N8" s="96"/>
      <c r="O8" s="96"/>
      <c r="P8" s="97"/>
      <c r="Q8" s="9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91" t="s">
        <v>0</v>
      </c>
      <c r="H10" s="99">
        <v>44902</v>
      </c>
      <c r="I10" s="100"/>
      <c r="J10" s="101" t="s">
        <v>1</v>
      </c>
      <c r="K10" s="102"/>
      <c r="L10" s="103">
        <f>XIRR(O30:O38,E30:E38)</f>
        <v>1.0037544369697574E-2</v>
      </c>
      <c r="M10" s="104"/>
      <c r="N10" s="101" t="s">
        <v>2</v>
      </c>
      <c r="O10" s="102"/>
      <c r="P10" s="103" t="s">
        <v>39</v>
      </c>
      <c r="Q10" s="104"/>
      <c r="R10" s="9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89" t="s">
        <v>4</v>
      </c>
      <c r="H11" s="111">
        <f>+G38</f>
        <v>45633</v>
      </c>
      <c r="I11" s="112"/>
      <c r="J11" s="107" t="s">
        <v>5</v>
      </c>
      <c r="K11" s="108"/>
      <c r="L11" s="105">
        <f>+(($L$10+1)^(0.0833333333333)-1)*12</f>
        <v>9.9916602177021474E-3</v>
      </c>
      <c r="M11" s="106"/>
      <c r="N11" s="107" t="s">
        <v>6</v>
      </c>
      <c r="O11" s="108"/>
      <c r="P11" s="105">
        <v>1</v>
      </c>
      <c r="Q11" s="1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11"/>
      <c r="D12" s="11"/>
      <c r="G12" s="89" t="s">
        <v>7</v>
      </c>
      <c r="H12" s="105" t="s">
        <v>42</v>
      </c>
      <c r="I12" s="106"/>
      <c r="J12" s="107" t="s">
        <v>9</v>
      </c>
      <c r="K12" s="108"/>
      <c r="L12" s="105">
        <f>+(($L$10+1)^(0.25)-1)*4</f>
        <v>9.9999819662270895E-3</v>
      </c>
      <c r="M12" s="106"/>
      <c r="N12" s="107" t="s">
        <v>10</v>
      </c>
      <c r="O12" s="108"/>
      <c r="P12" s="109">
        <f>ROUNDDOWN((125000000/H13),0)</f>
        <v>747168</v>
      </c>
      <c r="Q12" s="110"/>
      <c r="S12" s="12"/>
      <c r="U12" s="1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14" t="s">
        <v>40</v>
      </c>
      <c r="H13" s="124">
        <v>167.29830000000001</v>
      </c>
      <c r="I13" s="125"/>
      <c r="J13" s="107" t="s">
        <v>11</v>
      </c>
      <c r="K13" s="108"/>
      <c r="L13" s="126">
        <f>+(V40/U40)*12</f>
        <v>20.900295039159857</v>
      </c>
      <c r="M13" s="127"/>
      <c r="N13" s="128" t="s">
        <v>41</v>
      </c>
      <c r="O13" s="129"/>
      <c r="P13" s="130">
        <v>0.01</v>
      </c>
      <c r="Q13" s="131"/>
      <c r="S13" s="1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90" t="s">
        <v>13</v>
      </c>
      <c r="H14" s="114">
        <f>+$H$10</f>
        <v>44902</v>
      </c>
      <c r="I14" s="115"/>
      <c r="J14" s="116" t="s">
        <v>14</v>
      </c>
      <c r="K14" s="117"/>
      <c r="L14" s="118">
        <f>+D39</f>
        <v>24</v>
      </c>
      <c r="M14" s="119"/>
      <c r="N14" s="120" t="s">
        <v>15</v>
      </c>
      <c r="O14" s="121"/>
      <c r="P14" s="122" t="s">
        <v>16</v>
      </c>
      <c r="Q14" s="123"/>
      <c r="S14" s="1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16"/>
      <c r="I15" s="17"/>
      <c r="J15" s="17"/>
      <c r="M15" s="18"/>
      <c r="N15" s="19"/>
      <c r="S15" s="12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20" t="s">
        <v>17</v>
      </c>
      <c r="K16" s="21" t="s">
        <v>18</v>
      </c>
      <c r="L16" s="22" t="s">
        <v>19</v>
      </c>
      <c r="M16" s="23" t="s">
        <v>20</v>
      </c>
      <c r="N16" s="19"/>
      <c r="S16" s="1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24">
        <f>+G31</f>
        <v>44992</v>
      </c>
      <c r="K17" s="25">
        <f>+$P$12*L31/100</f>
        <v>0</v>
      </c>
      <c r="L17" s="26">
        <f>+$P$12*K31/100</f>
        <v>1842.3320547945204</v>
      </c>
      <c r="M17" s="27">
        <f>SUM(K17:L17)</f>
        <v>1842.3320547945204</v>
      </c>
      <c r="N17" s="19"/>
      <c r="S17" s="12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24">
        <f t="shared" ref="J18:J24" si="0">+G32</f>
        <v>45084</v>
      </c>
      <c r="K18" s="25">
        <f t="shared" ref="K18:K24" si="1">+$P$12*L32/100</f>
        <v>0</v>
      </c>
      <c r="L18" s="26">
        <f t="shared" ref="L18:L24" si="2">+$P$12*K32/100</f>
        <v>1883.2727671232878</v>
      </c>
      <c r="M18" s="27">
        <f t="shared" ref="M18:M24" si="3">SUM(K18:L18)</f>
        <v>1883.2727671232878</v>
      </c>
      <c r="N18" s="19"/>
      <c r="S18" s="12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24">
        <f t="shared" si="0"/>
        <v>45176</v>
      </c>
      <c r="K19" s="25">
        <f t="shared" si="1"/>
        <v>0</v>
      </c>
      <c r="L19" s="26">
        <f t="shared" si="2"/>
        <v>1883.2727671232878</v>
      </c>
      <c r="M19" s="27">
        <f t="shared" si="3"/>
        <v>1883.2727671232878</v>
      </c>
      <c r="N19" s="19"/>
      <c r="S19" s="1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24">
        <f t="shared" si="0"/>
        <v>45267</v>
      </c>
      <c r="K20" s="25">
        <f t="shared" si="1"/>
        <v>0</v>
      </c>
      <c r="L20" s="26">
        <f t="shared" si="2"/>
        <v>1862.8024109589041</v>
      </c>
      <c r="M20" s="27">
        <f t="shared" si="3"/>
        <v>1862.8024109589041</v>
      </c>
      <c r="N20" s="19"/>
      <c r="S20" s="12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24">
        <f t="shared" si="0"/>
        <v>45358</v>
      </c>
      <c r="K21" s="25">
        <f t="shared" si="1"/>
        <v>0</v>
      </c>
      <c r="L21" s="26">
        <f t="shared" si="2"/>
        <v>1862.8024109589041</v>
      </c>
      <c r="M21" s="27">
        <f t="shared" si="3"/>
        <v>1862.8024109589041</v>
      </c>
      <c r="N21" s="19"/>
      <c r="S21" s="1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24">
        <f t="shared" si="0"/>
        <v>45450</v>
      </c>
      <c r="K22" s="25">
        <f t="shared" si="1"/>
        <v>246565.44</v>
      </c>
      <c r="L22" s="26">
        <f t="shared" si="2"/>
        <v>1883.2727671232878</v>
      </c>
      <c r="M22" s="27">
        <f t="shared" si="3"/>
        <v>248448.7127671233</v>
      </c>
      <c r="N22" s="19"/>
      <c r="S22" s="1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4">
        <f t="shared" si="0"/>
        <v>45542</v>
      </c>
      <c r="K23" s="25">
        <f t="shared" si="1"/>
        <v>246565.44</v>
      </c>
      <c r="L23" s="26">
        <f t="shared" si="2"/>
        <v>1261.7927539726029</v>
      </c>
      <c r="M23" s="27">
        <f t="shared" si="3"/>
        <v>247827.23275397261</v>
      </c>
      <c r="N23" s="19"/>
      <c r="O23" s="28"/>
      <c r="S23" s="12"/>
      <c r="Y23" s="5"/>
      <c r="Z23" s="5"/>
      <c r="AA23" s="5"/>
      <c r="AB23" s="5"/>
      <c r="AC23" s="5"/>
      <c r="AD23" s="5"/>
      <c r="AE23" s="5"/>
      <c r="AF23" s="5"/>
      <c r="AG23" s="2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ht="12.75" customHeight="1" x14ac:dyDescent="0.2">
      <c r="J24" s="24">
        <f t="shared" si="0"/>
        <v>45633</v>
      </c>
      <c r="K24" s="25">
        <f t="shared" si="1"/>
        <v>254037.12</v>
      </c>
      <c r="L24" s="26">
        <f t="shared" si="2"/>
        <v>633.35281972602741</v>
      </c>
      <c r="M24" s="27">
        <f t="shared" si="3"/>
        <v>254670.47281972601</v>
      </c>
      <c r="N24" s="19"/>
      <c r="P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2.75" customHeight="1" x14ac:dyDescent="0.2">
      <c r="J25" s="31" t="s">
        <v>20</v>
      </c>
      <c r="K25" s="32">
        <f>SUM(K17:K24)</f>
        <v>747168</v>
      </c>
      <c r="L25" s="33">
        <f>SUM(L17:L24)</f>
        <v>13112.900751780822</v>
      </c>
      <c r="M25" s="34">
        <f>SUM(K25:L25)</f>
        <v>760280.90075178083</v>
      </c>
      <c r="N25" s="19"/>
      <c r="P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x14ac:dyDescent="0.2">
      <c r="H26" s="35"/>
      <c r="I26" s="17"/>
      <c r="J26" s="17"/>
      <c r="M26" s="18"/>
      <c r="N26" s="19"/>
      <c r="P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ht="14.25" customHeight="1" x14ac:dyDescent="0.2">
      <c r="G27" s="138" t="s">
        <v>21</v>
      </c>
      <c r="H27" s="140" t="s">
        <v>22</v>
      </c>
      <c r="I27" s="140" t="s">
        <v>23</v>
      </c>
      <c r="J27" s="140" t="s">
        <v>24</v>
      </c>
      <c r="K27" s="132" t="s">
        <v>25</v>
      </c>
      <c r="L27" s="132" t="s">
        <v>26</v>
      </c>
      <c r="M27" s="132" t="s">
        <v>27</v>
      </c>
      <c r="N27" s="134" t="s">
        <v>28</v>
      </c>
      <c r="O27" s="136" t="s">
        <v>29</v>
      </c>
      <c r="P27" s="30"/>
      <c r="R27" s="36" t="s">
        <v>31</v>
      </c>
      <c r="S27" s="36" t="s">
        <v>32</v>
      </c>
      <c r="T27" s="36" t="s">
        <v>33</v>
      </c>
      <c r="U27" s="36" t="s">
        <v>34</v>
      </c>
      <c r="V27" s="36" t="s">
        <v>35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ht="11.25" customHeight="1" x14ac:dyDescent="0.2">
      <c r="G28" s="139"/>
      <c r="H28" s="141"/>
      <c r="I28" s="141"/>
      <c r="J28" s="141"/>
      <c r="K28" s="133"/>
      <c r="L28" s="133"/>
      <c r="M28" s="133"/>
      <c r="N28" s="135"/>
      <c r="O28" s="137"/>
      <c r="P28" s="30"/>
      <c r="R28" s="37"/>
      <c r="S28" s="38">
        <f>+L10</f>
        <v>1.0037544369697574E-2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</row>
    <row r="29" spans="2:145" x14ac:dyDescent="0.2">
      <c r="B29" s="1" t="s">
        <v>36</v>
      </c>
      <c r="C29" s="39" t="s">
        <v>37</v>
      </c>
      <c r="D29" s="39" t="s">
        <v>38</v>
      </c>
      <c r="G29" s="40"/>
      <c r="H29" s="41"/>
      <c r="I29" s="41"/>
      <c r="J29" s="42">
        <f>+J30</f>
        <v>0.01</v>
      </c>
      <c r="K29" s="43"/>
      <c r="L29" s="43"/>
      <c r="M29" s="44">
        <f>+M30</f>
        <v>100</v>
      </c>
      <c r="N29" s="45"/>
      <c r="O29" s="46"/>
      <c r="P29" s="30"/>
      <c r="R29" s="37"/>
      <c r="S29" s="38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</row>
    <row r="30" spans="2:145" s="60" customFormat="1" ht="12.75" customHeight="1" x14ac:dyDescent="0.2">
      <c r="B30" s="94">
        <f>+H10</f>
        <v>44902</v>
      </c>
      <c r="C30" s="48"/>
      <c r="D30" s="48"/>
      <c r="E30" s="49">
        <f>+H14</f>
        <v>44902</v>
      </c>
      <c r="F30" s="50">
        <f>+H10</f>
        <v>44902</v>
      </c>
      <c r="G30" s="51">
        <f>+F30</f>
        <v>44902</v>
      </c>
      <c r="H30" s="52"/>
      <c r="I30" s="53"/>
      <c r="J30" s="54">
        <f>+$P$13</f>
        <v>0.01</v>
      </c>
      <c r="K30" s="53"/>
      <c r="L30" s="53"/>
      <c r="M30" s="55">
        <v>100</v>
      </c>
      <c r="N30" s="55">
        <f>+P11*100</f>
        <v>100</v>
      </c>
      <c r="O30" s="56">
        <f>-(P12*P11)</f>
        <v>-747168</v>
      </c>
      <c r="P30" s="30"/>
      <c r="Q30" s="1"/>
      <c r="R30" s="57">
        <f t="shared" ref="R30:R39" si="4">I30/365</f>
        <v>0</v>
      </c>
      <c r="S30" s="57">
        <f t="shared" ref="S30:S39" si="5">1/(1+$L$10)^(I30/365)</f>
        <v>1</v>
      </c>
      <c r="T30" s="58">
        <f t="shared" ref="T30:T38" si="6">+N30</f>
        <v>100</v>
      </c>
      <c r="U30" s="58">
        <f t="shared" ref="U30:U38" si="7">+T30*S30</f>
        <v>100</v>
      </c>
      <c r="V30" s="58">
        <f t="shared" ref="V30:V38" si="8">+U30*R30</f>
        <v>0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</row>
    <row r="31" spans="2:145" s="60" customFormat="1" ht="12.75" customHeight="1" x14ac:dyDescent="0.2">
      <c r="B31" s="47">
        <v>44992</v>
      </c>
      <c r="C31" s="48">
        <f>+B31-B30</f>
        <v>90</v>
      </c>
      <c r="D31" s="61">
        <f t="shared" ref="D31:D33" si="9">+ROUND(C31/30.5,0)</f>
        <v>3</v>
      </c>
      <c r="E31" s="49">
        <f t="shared" ref="E31:E38" si="10">+G31</f>
        <v>44992</v>
      </c>
      <c r="F31" s="50">
        <f>+F30+C31</f>
        <v>44992</v>
      </c>
      <c r="G31" s="62">
        <f t="shared" ref="G31:G38" si="11">+F31</f>
        <v>44992</v>
      </c>
      <c r="H31" s="52">
        <f t="shared" ref="H31:H33" si="12">+F31-F30</f>
        <v>90</v>
      </c>
      <c r="I31" s="52">
        <f t="shared" ref="I31:I38" si="13">+IF(G31-$H$14&lt;0,0,G31-$H$14)</f>
        <v>90</v>
      </c>
      <c r="J31" s="63">
        <f>+$P$13</f>
        <v>0.01</v>
      </c>
      <c r="K31" s="64">
        <f>+J31/365*H31*M30</f>
        <v>0.24657534246575341</v>
      </c>
      <c r="L31" s="65">
        <v>0</v>
      </c>
      <c r="M31" s="65">
        <f>+M30-L31</f>
        <v>100</v>
      </c>
      <c r="N31" s="92">
        <f t="shared" ref="N31:N38" si="14">+IF(G31&gt;$H$14,K31+L31,0)</f>
        <v>0.24657534246575341</v>
      </c>
      <c r="O31" s="66">
        <f t="shared" ref="O31:O38" si="15">+N31*$P$12/100</f>
        <v>1842.3320547945204</v>
      </c>
      <c r="P31" s="30"/>
      <c r="Q31" s="1"/>
      <c r="R31" s="57">
        <f t="shared" si="4"/>
        <v>0.24657534246575341</v>
      </c>
      <c r="S31" s="57">
        <f t="shared" si="5"/>
        <v>0.99754035796413087</v>
      </c>
      <c r="T31" s="58">
        <f t="shared" si="6"/>
        <v>0.24657534246575341</v>
      </c>
      <c r="U31" s="68">
        <f t="shared" si="7"/>
        <v>0.24596885538841581</v>
      </c>
      <c r="V31" s="58">
        <f t="shared" si="8"/>
        <v>6.0649854753308002E-2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</row>
    <row r="32" spans="2:145" s="60" customFormat="1" ht="12.75" customHeight="1" x14ac:dyDescent="0.2">
      <c r="B32" s="47">
        <v>45084</v>
      </c>
      <c r="C32" s="48">
        <f t="shared" ref="C32:C38" si="16">+B32-B31</f>
        <v>92</v>
      </c>
      <c r="D32" s="61">
        <f t="shared" si="9"/>
        <v>3</v>
      </c>
      <c r="E32" s="49">
        <f t="shared" si="10"/>
        <v>45084</v>
      </c>
      <c r="F32" s="50">
        <f t="shared" ref="F32:F38" si="17">+F31+C32</f>
        <v>45084</v>
      </c>
      <c r="G32" s="62">
        <f t="shared" si="11"/>
        <v>45084</v>
      </c>
      <c r="H32" s="52">
        <f t="shared" si="12"/>
        <v>92</v>
      </c>
      <c r="I32" s="52">
        <f t="shared" si="13"/>
        <v>182</v>
      </c>
      <c r="J32" s="63">
        <f t="shared" ref="J32:J38" si="18">+$P$13</f>
        <v>0.01</v>
      </c>
      <c r="K32" s="64">
        <f t="shared" ref="K32:K38" si="19">+J32/365*H32*M31</f>
        <v>0.25205479452054796</v>
      </c>
      <c r="L32" s="65">
        <v>0</v>
      </c>
      <c r="M32" s="65">
        <f t="shared" ref="M32:M38" si="20">+M31-L32</f>
        <v>100</v>
      </c>
      <c r="N32" s="92">
        <f t="shared" si="14"/>
        <v>0.25205479452054796</v>
      </c>
      <c r="O32" s="66">
        <f t="shared" si="15"/>
        <v>1883.2727671232878</v>
      </c>
      <c r="P32" s="30"/>
      <c r="Q32" s="1"/>
      <c r="R32" s="57">
        <f t="shared" si="4"/>
        <v>0.49863013698630138</v>
      </c>
      <c r="S32" s="57">
        <f t="shared" si="5"/>
        <v>0.99503231009638859</v>
      </c>
      <c r="T32" s="58">
        <f t="shared" si="6"/>
        <v>0.25205479452054796</v>
      </c>
      <c r="U32" s="68">
        <f t="shared" si="7"/>
        <v>0.25080266446265137</v>
      </c>
      <c r="V32" s="58">
        <f t="shared" si="8"/>
        <v>0.12505776693754123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</row>
    <row r="33" spans="2:145" s="60" customFormat="1" ht="12.75" customHeight="1" x14ac:dyDescent="0.2">
      <c r="B33" s="47">
        <v>45176</v>
      </c>
      <c r="C33" s="48">
        <f t="shared" si="16"/>
        <v>92</v>
      </c>
      <c r="D33" s="61">
        <f t="shared" si="9"/>
        <v>3</v>
      </c>
      <c r="E33" s="49">
        <f t="shared" si="10"/>
        <v>45176</v>
      </c>
      <c r="F33" s="50">
        <f t="shared" si="17"/>
        <v>45176</v>
      </c>
      <c r="G33" s="62">
        <f t="shared" si="11"/>
        <v>45176</v>
      </c>
      <c r="H33" s="52">
        <f t="shared" si="12"/>
        <v>92</v>
      </c>
      <c r="I33" s="52">
        <f t="shared" si="13"/>
        <v>274</v>
      </c>
      <c r="J33" s="63">
        <f t="shared" si="18"/>
        <v>0.01</v>
      </c>
      <c r="K33" s="64">
        <f t="shared" si="19"/>
        <v>0.25205479452054796</v>
      </c>
      <c r="L33" s="65">
        <v>0</v>
      </c>
      <c r="M33" s="65">
        <f t="shared" si="20"/>
        <v>100</v>
      </c>
      <c r="N33" s="92">
        <f t="shared" si="14"/>
        <v>0.25205479452054796</v>
      </c>
      <c r="O33" s="66">
        <f t="shared" si="15"/>
        <v>1883.2727671232878</v>
      </c>
      <c r="P33" s="30"/>
      <c r="Q33" s="1"/>
      <c r="R33" s="57">
        <f t="shared" si="4"/>
        <v>0.75068493150684934</v>
      </c>
      <c r="S33" s="57">
        <f t="shared" si="5"/>
        <v>0.99253056804279838</v>
      </c>
      <c r="T33" s="58">
        <f t="shared" si="6"/>
        <v>0.25205479452054796</v>
      </c>
      <c r="U33" s="68">
        <f t="shared" si="7"/>
        <v>0.25017208838339028</v>
      </c>
      <c r="V33" s="58">
        <f t="shared" si="8"/>
        <v>0.18780041703301079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</row>
    <row r="34" spans="2:145" s="60" customFormat="1" ht="12.75" customHeight="1" x14ac:dyDescent="0.2">
      <c r="B34" s="47">
        <v>45267</v>
      </c>
      <c r="C34" s="48">
        <f t="shared" si="16"/>
        <v>91</v>
      </c>
      <c r="D34" s="61">
        <f>+ROUND(C34/30.5,0)</f>
        <v>3</v>
      </c>
      <c r="E34" s="49">
        <f t="shared" si="10"/>
        <v>45267</v>
      </c>
      <c r="F34" s="50">
        <f t="shared" si="17"/>
        <v>45267</v>
      </c>
      <c r="G34" s="62">
        <f t="shared" si="11"/>
        <v>45267</v>
      </c>
      <c r="H34" s="52">
        <f>+F34-F33</f>
        <v>91</v>
      </c>
      <c r="I34" s="52">
        <f t="shared" si="13"/>
        <v>365</v>
      </c>
      <c r="J34" s="63">
        <f t="shared" si="18"/>
        <v>0.01</v>
      </c>
      <c r="K34" s="64">
        <f t="shared" si="19"/>
        <v>0.24931506849315069</v>
      </c>
      <c r="L34" s="65">
        <v>0</v>
      </c>
      <c r="M34" s="65">
        <f t="shared" si="20"/>
        <v>100</v>
      </c>
      <c r="N34" s="92">
        <f t="shared" si="14"/>
        <v>0.24931506849315069</v>
      </c>
      <c r="O34" s="66">
        <f t="shared" si="15"/>
        <v>1862.8024109589041</v>
      </c>
      <c r="P34" s="30"/>
      <c r="Q34" s="1"/>
      <c r="R34" s="57">
        <f t="shared" si="4"/>
        <v>1</v>
      </c>
      <c r="S34" s="57">
        <f t="shared" si="5"/>
        <v>0.99006220667177136</v>
      </c>
      <c r="T34" s="58">
        <f t="shared" si="6"/>
        <v>0.24931506849315069</v>
      </c>
      <c r="U34" s="68">
        <f t="shared" si="7"/>
        <v>0.2468374268688526</v>
      </c>
      <c r="V34" s="58">
        <f t="shared" si="8"/>
        <v>0.2468374268688526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</row>
    <row r="35" spans="2:145" s="60" customFormat="1" ht="12.75" customHeight="1" x14ac:dyDescent="0.2">
      <c r="B35" s="47">
        <v>45358</v>
      </c>
      <c r="C35" s="48">
        <f t="shared" si="16"/>
        <v>91</v>
      </c>
      <c r="D35" s="61">
        <f t="shared" ref="D35:D38" si="21">+ROUND(C35/30.5,0)</f>
        <v>3</v>
      </c>
      <c r="E35" s="49">
        <f t="shared" si="10"/>
        <v>45358</v>
      </c>
      <c r="F35" s="50">
        <f t="shared" si="17"/>
        <v>45358</v>
      </c>
      <c r="G35" s="62">
        <f t="shared" si="11"/>
        <v>45358</v>
      </c>
      <c r="H35" s="52">
        <f t="shared" ref="H35:H38" si="22">+F35-F34</f>
        <v>91</v>
      </c>
      <c r="I35" s="52">
        <f t="shared" si="13"/>
        <v>456</v>
      </c>
      <c r="J35" s="63">
        <f t="shared" si="18"/>
        <v>0.01</v>
      </c>
      <c r="K35" s="64">
        <f t="shared" si="19"/>
        <v>0.24931506849315069</v>
      </c>
      <c r="L35" s="65">
        <v>0</v>
      </c>
      <c r="M35" s="65">
        <f t="shared" si="20"/>
        <v>100</v>
      </c>
      <c r="N35" s="92">
        <f t="shared" si="14"/>
        <v>0.24931506849315069</v>
      </c>
      <c r="O35" s="66">
        <f t="shared" si="15"/>
        <v>1862.8024109589041</v>
      </c>
      <c r="P35" s="30"/>
      <c r="Q35" s="1"/>
      <c r="R35" s="57">
        <f t="shared" si="4"/>
        <v>1.2493150684931507</v>
      </c>
      <c r="S35" s="57">
        <f t="shared" si="5"/>
        <v>0.98759998396090654</v>
      </c>
      <c r="T35" s="58">
        <f t="shared" si="6"/>
        <v>0.24931506849315069</v>
      </c>
      <c r="U35" s="68">
        <f t="shared" si="7"/>
        <v>0.24622355764504794</v>
      </c>
      <c r="V35" s="58">
        <f t="shared" si="8"/>
        <v>0.30761080078395031</v>
      </c>
      <c r="W35" s="1"/>
      <c r="X35" s="1"/>
      <c r="Y35" s="5"/>
      <c r="Z35" s="5"/>
      <c r="AA35" s="5"/>
      <c r="AB35" s="5"/>
      <c r="AC35" s="5"/>
      <c r="AD35" s="5"/>
      <c r="AE35" s="5"/>
      <c r="AF35" s="5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</row>
    <row r="36" spans="2:145" s="60" customFormat="1" ht="12.75" customHeight="1" x14ac:dyDescent="0.2">
      <c r="B36" s="47">
        <v>45450</v>
      </c>
      <c r="C36" s="48">
        <f t="shared" si="16"/>
        <v>92</v>
      </c>
      <c r="D36" s="61">
        <f t="shared" si="21"/>
        <v>3</v>
      </c>
      <c r="E36" s="49">
        <f t="shared" si="10"/>
        <v>45450</v>
      </c>
      <c r="F36" s="50">
        <f t="shared" si="17"/>
        <v>45450</v>
      </c>
      <c r="G36" s="62">
        <f t="shared" si="11"/>
        <v>45450</v>
      </c>
      <c r="H36" s="52">
        <f t="shared" si="22"/>
        <v>92</v>
      </c>
      <c r="I36" s="52">
        <f t="shared" si="13"/>
        <v>548</v>
      </c>
      <c r="J36" s="63">
        <f t="shared" si="18"/>
        <v>0.01</v>
      </c>
      <c r="K36" s="64">
        <f t="shared" si="19"/>
        <v>0.25205479452054796</v>
      </c>
      <c r="L36" s="65">
        <v>33</v>
      </c>
      <c r="M36" s="65">
        <f t="shared" si="20"/>
        <v>67</v>
      </c>
      <c r="N36" s="92">
        <f t="shared" si="14"/>
        <v>33.252054794520546</v>
      </c>
      <c r="O36" s="66">
        <f t="shared" si="15"/>
        <v>248448.71276712327</v>
      </c>
      <c r="P36" s="30"/>
      <c r="Q36" s="1"/>
      <c r="R36" s="57">
        <f t="shared" si="4"/>
        <v>1.5013698630136987</v>
      </c>
      <c r="S36" s="57">
        <f t="shared" si="5"/>
        <v>0.98511692849936028</v>
      </c>
      <c r="T36" s="58">
        <f t="shared" si="6"/>
        <v>33.252054794520546</v>
      </c>
      <c r="U36" s="68">
        <f t="shared" si="7"/>
        <v>32.757162085470505</v>
      </c>
      <c r="V36" s="58">
        <f t="shared" si="8"/>
        <v>49.180615952980375</v>
      </c>
      <c r="W36" s="1"/>
      <c r="X36" s="1"/>
      <c r="Y36" s="5"/>
      <c r="Z36" s="5"/>
      <c r="AA36" s="5"/>
      <c r="AB36" s="5"/>
      <c r="AC36" s="5"/>
      <c r="AD36" s="5"/>
      <c r="AE36" s="5"/>
      <c r="AF36" s="5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</row>
    <row r="37" spans="2:145" s="60" customFormat="1" ht="12.75" customHeight="1" x14ac:dyDescent="0.2">
      <c r="B37" s="47">
        <v>45542</v>
      </c>
      <c r="C37" s="48">
        <f t="shared" si="16"/>
        <v>92</v>
      </c>
      <c r="D37" s="61">
        <f t="shared" si="21"/>
        <v>3</v>
      </c>
      <c r="E37" s="49">
        <f t="shared" si="10"/>
        <v>45542</v>
      </c>
      <c r="F37" s="50">
        <f t="shared" si="17"/>
        <v>45542</v>
      </c>
      <c r="G37" s="62">
        <f t="shared" si="11"/>
        <v>45542</v>
      </c>
      <c r="H37" s="52">
        <f t="shared" si="22"/>
        <v>92</v>
      </c>
      <c r="I37" s="52">
        <f t="shared" si="13"/>
        <v>640</v>
      </c>
      <c r="J37" s="63">
        <f t="shared" si="18"/>
        <v>0.01</v>
      </c>
      <c r="K37" s="64">
        <f t="shared" si="19"/>
        <v>0.16887671232876714</v>
      </c>
      <c r="L37" s="65">
        <v>33</v>
      </c>
      <c r="M37" s="65">
        <f t="shared" si="20"/>
        <v>34</v>
      </c>
      <c r="N37" s="92">
        <f t="shared" si="14"/>
        <v>33.168876712328768</v>
      </c>
      <c r="O37" s="66">
        <f t="shared" si="15"/>
        <v>247827.23275397261</v>
      </c>
      <c r="P37" s="30"/>
      <c r="Q37" s="1"/>
      <c r="R37" s="57">
        <f t="shared" si="4"/>
        <v>1.7534246575342465</v>
      </c>
      <c r="S37" s="57">
        <f t="shared" si="5"/>
        <v>0.98264011601525969</v>
      </c>
      <c r="T37" s="58">
        <f t="shared" si="6"/>
        <v>33.168876712328768</v>
      </c>
      <c r="U37" s="68">
        <f t="shared" si="7"/>
        <v>32.593068860698587</v>
      </c>
      <c r="V37" s="58">
        <f t="shared" si="8"/>
        <v>57.149490605060535</v>
      </c>
      <c r="W37" s="1"/>
      <c r="X37" s="1"/>
      <c r="Y37" s="5"/>
      <c r="Z37" s="5"/>
      <c r="AA37" s="5"/>
      <c r="AB37" s="5"/>
      <c r="AC37" s="5"/>
      <c r="AD37" s="5"/>
      <c r="AE37" s="5"/>
      <c r="AF37" s="5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</row>
    <row r="38" spans="2:145" s="60" customFormat="1" ht="12.75" customHeight="1" x14ac:dyDescent="0.2">
      <c r="B38" s="47">
        <v>45633</v>
      </c>
      <c r="C38" s="48">
        <f t="shared" si="16"/>
        <v>91</v>
      </c>
      <c r="D38" s="61">
        <f t="shared" si="21"/>
        <v>3</v>
      </c>
      <c r="E38" s="49">
        <f t="shared" si="10"/>
        <v>45633</v>
      </c>
      <c r="F38" s="50">
        <f t="shared" si="17"/>
        <v>45633</v>
      </c>
      <c r="G38" s="69">
        <f t="shared" si="11"/>
        <v>45633</v>
      </c>
      <c r="H38" s="70">
        <f t="shared" si="22"/>
        <v>91</v>
      </c>
      <c r="I38" s="70">
        <f t="shared" si="13"/>
        <v>731</v>
      </c>
      <c r="J38" s="71">
        <f t="shared" si="18"/>
        <v>0.01</v>
      </c>
      <c r="K38" s="72">
        <f t="shared" si="19"/>
        <v>8.4767123287671234E-2</v>
      </c>
      <c r="L38" s="73">
        <v>34</v>
      </c>
      <c r="M38" s="73">
        <f t="shared" si="20"/>
        <v>0</v>
      </c>
      <c r="N38" s="93">
        <f t="shared" si="14"/>
        <v>34.084767123287669</v>
      </c>
      <c r="O38" s="74">
        <f t="shared" si="15"/>
        <v>254670.47281972601</v>
      </c>
      <c r="P38" s="30"/>
      <c r="Q38" s="76"/>
      <c r="R38" s="57">
        <f t="shared" si="4"/>
        <v>2.0027397260273974</v>
      </c>
      <c r="S38" s="57">
        <f t="shared" si="5"/>
        <v>0.98019635157909057</v>
      </c>
      <c r="T38" s="58">
        <f t="shared" si="6"/>
        <v>34.084767123287669</v>
      </c>
      <c r="U38" s="68">
        <f t="shared" si="7"/>
        <v>33.409764378669507</v>
      </c>
      <c r="V38" s="58">
        <f t="shared" si="8"/>
        <v>66.911062358376469</v>
      </c>
      <c r="W38" s="1"/>
      <c r="X38" s="1"/>
      <c r="Y38" s="5"/>
      <c r="Z38" s="5"/>
      <c r="AA38" s="5"/>
      <c r="AB38" s="5"/>
      <c r="AC38" s="5"/>
      <c r="AD38" s="5"/>
      <c r="AE38" s="5"/>
      <c r="AF38" s="5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</row>
    <row r="39" spans="2:145" ht="12.75" customHeight="1" x14ac:dyDescent="0.2">
      <c r="C39" s="77">
        <f>SUM(C31:C38)</f>
        <v>731</v>
      </c>
      <c r="D39" s="78">
        <f>SUM(D31:D38)</f>
        <v>24</v>
      </c>
      <c r="G39" s="79"/>
      <c r="H39" s="80"/>
      <c r="I39" s="81"/>
      <c r="J39" s="63"/>
      <c r="K39" s="82"/>
      <c r="L39" s="83"/>
      <c r="M39" s="81"/>
      <c r="N39" s="81"/>
      <c r="O39" s="84"/>
      <c r="P39" s="30"/>
      <c r="Q39" s="76"/>
      <c r="R39" s="1">
        <f t="shared" si="4"/>
        <v>0</v>
      </c>
      <c r="S39" s="1">
        <f t="shared" si="5"/>
        <v>1</v>
      </c>
      <c r="T39" s="58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G40" s="85"/>
      <c r="H40" s="80"/>
      <c r="I40" s="80"/>
      <c r="J40" s="80"/>
      <c r="K40" s="80"/>
      <c r="L40" s="86">
        <f>SUM(L34:L38)</f>
        <v>100</v>
      </c>
      <c r="M40" s="81"/>
      <c r="N40" s="81"/>
      <c r="O40" s="87">
        <f>SUM(O30:O38)</f>
        <v>13112.900751780835</v>
      </c>
      <c r="P40" s="30"/>
      <c r="Q40" s="76"/>
      <c r="R40" s="88"/>
      <c r="S40" s="88"/>
      <c r="T40" s="58"/>
      <c r="U40" s="58">
        <f>SUM(U31:U38)</f>
        <v>99.999999917586962</v>
      </c>
      <c r="V40" s="58">
        <f>SUM(V31:V38)</f>
        <v>174.16912518279406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ht="9.75" customHeight="1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R206" s="1"/>
      <c r="S206" s="1"/>
      <c r="T206" s="1"/>
      <c r="U206" s="1"/>
      <c r="V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R207" s="1"/>
      <c r="S207" s="1"/>
      <c r="T207" s="1"/>
      <c r="U207" s="1"/>
      <c r="V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R208" s="1"/>
      <c r="S208" s="1"/>
      <c r="T208" s="1"/>
      <c r="U208" s="1"/>
      <c r="V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  <row r="209" spans="18:145" x14ac:dyDescent="0.2">
      <c r="R209" s="1"/>
      <c r="S209" s="1"/>
      <c r="T209" s="1"/>
      <c r="U209" s="1"/>
      <c r="V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</row>
    <row r="210" spans="18:145" x14ac:dyDescent="0.2"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</row>
    <row r="211" spans="18:145" x14ac:dyDescent="0.2"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</row>
    <row r="212" spans="18:145" x14ac:dyDescent="0.2"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</row>
  </sheetData>
  <sheetProtection selectLockedCells="1"/>
  <mergeCells count="35"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 (ARS)</vt:lpstr>
      <vt:lpstr>CLASE II (DL)</vt:lpstr>
      <vt:lpstr>'CLASE I (ARS)'!Área_de_impresión</vt:lpstr>
      <vt:lpstr>'CLASE II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2022-11-22T22:17:42Z</dcterms:created>
  <dcterms:modified xsi:type="dcterms:W3CDTF">2022-12-02T13:35:41Z</dcterms:modified>
</cp:coreProperties>
</file>