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S\Finanzas Corporativas\COLOCACIONES\EDENOR\ON 3, 4 y Reapertura 2\Difusion\"/>
    </mc:Choice>
  </mc:AlternateContent>
  <bookViews>
    <workbookView xWindow="0" yWindow="0" windowWidth="20400" windowHeight="7620"/>
  </bookViews>
  <sheets>
    <sheet name="Edenor II" sheetId="1" r:id="rId1"/>
  </sheets>
  <calcPr calcId="162913" iterate="1" iterateCount="1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B28" i="1"/>
  <c r="B29" i="1"/>
  <c r="B30" i="1"/>
  <c r="B27" i="1"/>
  <c r="B26" i="1"/>
  <c r="C26" i="1" l="1"/>
  <c r="F27" i="1" l="1"/>
  <c r="E27" i="1"/>
  <c r="F28" i="1"/>
  <c r="F29" i="1"/>
  <c r="F30" i="1"/>
  <c r="E11" i="1"/>
  <c r="H19" i="1"/>
  <c r="G28" i="1"/>
  <c r="G29" i="1"/>
  <c r="G30" i="1"/>
  <c r="G27" i="1"/>
  <c r="I31" i="1"/>
  <c r="J27" i="1"/>
  <c r="J28" i="1" s="1"/>
  <c r="J29" i="1" s="1"/>
  <c r="J30" i="1" s="1"/>
  <c r="G26" i="1"/>
  <c r="G25" i="1" s="1"/>
  <c r="D26" i="1"/>
  <c r="M11" i="1" s="1"/>
  <c r="J25" i="1"/>
  <c r="H20" i="1"/>
  <c r="H18" i="1"/>
  <c r="H17" i="1"/>
  <c r="E13" i="1"/>
  <c r="H21" i="1" l="1"/>
  <c r="D30" i="1"/>
  <c r="O30" i="1" s="1"/>
  <c r="D28" i="1"/>
  <c r="O28" i="1" s="1"/>
  <c r="H27" i="1"/>
  <c r="I17" i="1" s="1"/>
  <c r="G20" i="1"/>
  <c r="G18" i="1"/>
  <c r="E30" i="1"/>
  <c r="D27" i="1"/>
  <c r="M12" i="1" l="1"/>
  <c r="E28" i="1"/>
  <c r="H28" i="1" s="1"/>
  <c r="I18" i="1" s="1"/>
  <c r="J18" i="1" s="1"/>
  <c r="G17" i="1"/>
  <c r="O27" i="1"/>
  <c r="K27" i="1"/>
  <c r="H30" i="1"/>
  <c r="D29" i="1"/>
  <c r="E29" i="1"/>
  <c r="H29" i="1" s="1"/>
  <c r="I19" i="1" s="1"/>
  <c r="J17" i="1"/>
  <c r="M13" i="1" l="1"/>
  <c r="L26" i="1" s="1"/>
  <c r="K26" i="1"/>
  <c r="K28" i="1"/>
  <c r="L28" i="1" s="1"/>
  <c r="J19" i="1"/>
  <c r="K29" i="1"/>
  <c r="O29" i="1"/>
  <c r="G19" i="1"/>
  <c r="I20" i="1"/>
  <c r="J20" i="1" s="1"/>
  <c r="K30" i="1"/>
  <c r="Q27" i="1"/>
  <c r="L27" i="1"/>
  <c r="Q28" i="1" l="1"/>
  <c r="Q30" i="1"/>
  <c r="L30" i="1"/>
  <c r="Q29" i="1"/>
  <c r="L29" i="1"/>
  <c r="I21" i="1"/>
  <c r="J21" i="1" s="1"/>
  <c r="L31" i="1" l="1"/>
  <c r="P30" i="1" l="1"/>
  <c r="R30" i="1" s="1"/>
  <c r="S30" i="1" s="1"/>
  <c r="P24" i="1"/>
  <c r="P27" i="1"/>
  <c r="R27" i="1" s="1"/>
  <c r="S27" i="1" s="1"/>
  <c r="P28" i="1"/>
  <c r="R28" i="1" s="1"/>
  <c r="S28" i="1" s="1"/>
  <c r="P29" i="1"/>
  <c r="R29" i="1" s="1"/>
  <c r="S29" i="1" s="1"/>
  <c r="S31" i="1" l="1"/>
  <c r="R31" i="1"/>
  <c r="I12" i="1" l="1"/>
</calcChain>
</file>

<file path=xl/comments1.xml><?xml version="1.0" encoding="utf-8"?>
<comments xmlns="http://schemas.openxmlformats.org/spreadsheetml/2006/main">
  <authors>
    <author>Lintura Leandro</author>
  </authors>
  <commentList>
    <comment ref="M14" authorId="0" shapeId="0">
      <text>
        <r>
          <rPr>
            <b/>
            <sz val="8"/>
            <color indexed="81"/>
            <rFont val="Tahoma"/>
            <family val="2"/>
          </rPr>
          <t>VN solicitado.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Ingrese margen de corte a licitar</t>
        </r>
      </text>
    </comment>
  </commentList>
</comments>
</file>

<file path=xl/sharedStrings.xml><?xml version="1.0" encoding="utf-8"?>
<sst xmlns="http://schemas.openxmlformats.org/spreadsheetml/2006/main" count="38" uniqueCount="36">
  <si>
    <t>TIR:</t>
  </si>
  <si>
    <t>Precio clean:</t>
  </si>
  <si>
    <t>Fecha de Vto:</t>
  </si>
  <si>
    <t xml:space="preserve">TNA: </t>
  </si>
  <si>
    <t>Int. Corridos:</t>
  </si>
  <si>
    <t>Cupon:</t>
  </si>
  <si>
    <t>Badlar + Margen</t>
  </si>
  <si>
    <t>Duration años:</t>
  </si>
  <si>
    <t>Precio Dirty:</t>
  </si>
  <si>
    <t>Ultimo Pago de Cupón:</t>
  </si>
  <si>
    <t>$ a Invertir:</t>
  </si>
  <si>
    <t>Fecha</t>
  </si>
  <si>
    <t>Amortización</t>
  </si>
  <si>
    <t>Interes</t>
  </si>
  <si>
    <t>Total</t>
  </si>
  <si>
    <t>Fecha de Pago</t>
  </si>
  <si>
    <t>Días Devengamiento</t>
  </si>
  <si>
    <t>Días Totales</t>
  </si>
  <si>
    <t>Cupon</t>
  </si>
  <si>
    <t>Capital</t>
  </si>
  <si>
    <t>Capital Residual</t>
  </si>
  <si>
    <t>Flujo</t>
  </si>
  <si>
    <t>Flujo Valor Nominal</t>
  </si>
  <si>
    <t>tiempo prom cupon</t>
  </si>
  <si>
    <t>Discount factor</t>
  </si>
  <si>
    <t>Cupon VN</t>
  </si>
  <si>
    <t>Cupon VP</t>
  </si>
  <si>
    <t>Factor de duration</t>
  </si>
  <si>
    <t>Tasa:</t>
  </si>
  <si>
    <t>V/N:</t>
  </si>
  <si>
    <t>Plazo (meses):</t>
  </si>
  <si>
    <t>Calificación (Fix/ Moody´s):</t>
  </si>
  <si>
    <t>ON Edenor Clase II Adicionales (Hard Dollar)</t>
  </si>
  <si>
    <t>A-/ BBB</t>
  </si>
  <si>
    <t>Fecha de Liquidación:</t>
  </si>
  <si>
    <t>Fecha Emisión Original: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</si>
</sst>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[$-409]d\-mmm\-yy;@"/>
    <numFmt numFmtId="165" formatCode="0.0000%"/>
    <numFmt numFmtId="166" formatCode="#,##0_ ;[Red]\-#,##0\ "/>
    <numFmt numFmtId="167" formatCode="[$-F800]dddd\,\ mmmm\ dd\,\ yyyy"/>
    <numFmt numFmtId="168" formatCode="#,##0.00_ ;[Red]\-#,##0.00\ "/>
    <numFmt numFmtId="169" formatCode="#,##0.000000_ ;[Red]\-#,##0.0000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07">
    <xf numFmtId="0" fontId="0" fillId="0" borderId="0" xfId="0"/>
    <xf numFmtId="0" fontId="2" fillId="2" borderId="0" xfId="0" applyFont="1" applyFill="1" applyProtection="1"/>
    <xf numFmtId="0" fontId="2" fillId="2" borderId="0" xfId="0" applyFont="1" applyFill="1" applyBorder="1" applyProtection="1"/>
    <xf numFmtId="9" fontId="2" fillId="2" borderId="0" xfId="2" applyFont="1" applyFill="1" applyProtection="1"/>
    <xf numFmtId="0" fontId="5" fillId="2" borderId="4" xfId="0" applyFont="1" applyFill="1" applyBorder="1" applyAlignment="1" applyProtection="1">
      <alignment horizontal="right"/>
    </xf>
    <xf numFmtId="0" fontId="5" fillId="2" borderId="7" xfId="0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right"/>
    </xf>
    <xf numFmtId="167" fontId="2" fillId="2" borderId="5" xfId="3" applyNumberFormat="1" applyFont="1" applyFill="1" applyBorder="1" applyAlignment="1" applyProtection="1">
      <alignment horizontal="center"/>
    </xf>
    <xf numFmtId="164" fontId="5" fillId="2" borderId="0" xfId="3" applyNumberFormat="1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right"/>
    </xf>
    <xf numFmtId="166" fontId="5" fillId="2" borderId="0" xfId="0" applyNumberFormat="1" applyFont="1" applyFill="1" applyBorder="1" applyProtection="1"/>
    <xf numFmtId="0" fontId="5" fillId="2" borderId="12" xfId="0" applyFont="1" applyFill="1" applyBorder="1" applyAlignment="1" applyProtection="1">
      <alignment horizontal="center"/>
    </xf>
    <xf numFmtId="164" fontId="5" fillId="2" borderId="3" xfId="3" applyNumberFormat="1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15" fontId="2" fillId="2" borderId="13" xfId="0" applyNumberFormat="1" applyFont="1" applyFill="1" applyBorder="1" applyAlignment="1" applyProtection="1">
      <alignment horizontal="center"/>
    </xf>
    <xf numFmtId="4" fontId="2" fillId="2" borderId="8" xfId="3" applyNumberFormat="1" applyFont="1" applyFill="1" applyBorder="1" applyAlignment="1" applyProtection="1">
      <alignment horizontal="center"/>
    </xf>
    <xf numFmtId="4" fontId="2" fillId="2" borderId="8" xfId="0" applyNumberFormat="1" applyFont="1" applyFill="1" applyBorder="1" applyAlignment="1" applyProtection="1">
      <alignment horizontal="center"/>
    </xf>
    <xf numFmtId="15" fontId="5" fillId="2" borderId="12" xfId="0" applyNumberFormat="1" applyFont="1" applyFill="1" applyBorder="1" applyAlignment="1" applyProtection="1">
      <alignment horizontal="center"/>
    </xf>
    <xf numFmtId="4" fontId="5" fillId="2" borderId="3" xfId="3" applyNumberFormat="1" applyFont="1" applyFill="1" applyBorder="1" applyAlignment="1" applyProtection="1">
      <alignment horizontal="center"/>
    </xf>
    <xf numFmtId="4" fontId="5" fillId="2" borderId="3" xfId="0" applyNumberFormat="1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165" fontId="5" fillId="2" borderId="0" xfId="2" applyNumberFormat="1" applyFont="1" applyFill="1" applyBorder="1" applyAlignment="1" applyProtection="1">
      <alignment horizontal="center"/>
    </xf>
    <xf numFmtId="164" fontId="5" fillId="2" borderId="7" xfId="3" applyNumberFormat="1" applyFont="1" applyFill="1" applyBorder="1" applyAlignment="1" applyProtection="1">
      <alignment horizontal="center" vertical="center"/>
    </xf>
    <xf numFmtId="164" fontId="5" fillId="2" borderId="0" xfId="3" applyNumberFormat="1" applyFont="1" applyFill="1" applyBorder="1" applyAlignment="1" applyProtection="1">
      <alignment horizontal="center" vertical="center"/>
    </xf>
    <xf numFmtId="10" fontId="8" fillId="2" borderId="2" xfId="2" applyNumberFormat="1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  <xf numFmtId="40" fontId="9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67" fontId="2" fillId="2" borderId="8" xfId="0" applyNumberFormat="1" applyFont="1" applyFill="1" applyBorder="1" applyAlignment="1" applyProtection="1">
      <alignment horizontal="center" vertical="center"/>
    </xf>
    <xf numFmtId="15" fontId="2" fillId="2" borderId="4" xfId="0" applyNumberFormat="1" applyFont="1" applyFill="1" applyBorder="1" applyAlignment="1" applyProtection="1">
      <alignment horizontal="center"/>
    </xf>
    <xf numFmtId="38" fontId="2" fillId="2" borderId="5" xfId="0" applyNumberFormat="1" applyFont="1" applyFill="1" applyBorder="1" applyAlignment="1" applyProtection="1">
      <alignment horizontal="center" vertical="center"/>
    </xf>
    <xf numFmtId="10" fontId="8" fillId="2" borderId="5" xfId="2" applyNumberFormat="1" applyFont="1" applyFill="1" applyBorder="1" applyAlignment="1" applyProtection="1">
      <alignment horizontal="center"/>
    </xf>
    <xf numFmtId="40" fontId="2" fillId="2" borderId="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5" fontId="2" fillId="2" borderId="7" xfId="3" applyNumberFormat="1" applyFont="1" applyFill="1" applyBorder="1" applyAlignment="1" applyProtection="1">
      <alignment horizontal="center"/>
    </xf>
    <xf numFmtId="38" fontId="2" fillId="2" borderId="0" xfId="0" applyNumberFormat="1" applyFont="1" applyFill="1" applyBorder="1" applyAlignment="1" applyProtection="1">
      <alignment horizontal="center"/>
    </xf>
    <xf numFmtId="10" fontId="2" fillId="2" borderId="0" xfId="2" applyNumberFormat="1" applyFont="1" applyFill="1" applyBorder="1" applyAlignment="1" applyProtection="1">
      <alignment horizontal="center"/>
    </xf>
    <xf numFmtId="168" fontId="2" fillId="2" borderId="0" xfId="1" applyNumberFormat="1" applyFont="1" applyFill="1" applyBorder="1" applyAlignment="1" applyProtection="1">
      <alignment horizontal="center"/>
    </xf>
    <xf numFmtId="40" fontId="2" fillId="2" borderId="0" xfId="0" applyNumberFormat="1" applyFont="1" applyFill="1" applyBorder="1" applyAlignment="1" applyProtection="1">
      <alignment horizontal="center"/>
    </xf>
    <xf numFmtId="169" fontId="6" fillId="2" borderId="0" xfId="0" applyNumberFormat="1" applyFont="1" applyFill="1" applyBorder="1" applyAlignment="1" applyProtection="1">
      <alignment horizontal="center" vertical="center"/>
    </xf>
    <xf numFmtId="169" fontId="2" fillId="2" borderId="0" xfId="0" applyNumberFormat="1" applyFont="1" applyFill="1" applyAlignment="1" applyProtection="1">
      <alignment horizontal="center" vertical="center"/>
    </xf>
    <xf numFmtId="167" fontId="2" fillId="2" borderId="8" xfId="3" applyNumberFormat="1" applyFont="1" applyFill="1" applyBorder="1" applyAlignment="1" applyProtection="1">
      <alignment horizontal="center"/>
    </xf>
    <xf numFmtId="15" fontId="2" fillId="2" borderId="9" xfId="3" applyNumberFormat="1" applyFont="1" applyFill="1" applyBorder="1" applyAlignment="1" applyProtection="1">
      <alignment horizontal="center"/>
    </xf>
    <xf numFmtId="38" fontId="2" fillId="2" borderId="10" xfId="0" applyNumberFormat="1" applyFont="1" applyFill="1" applyBorder="1" applyAlignment="1" applyProtection="1">
      <alignment horizontal="center"/>
    </xf>
    <xf numFmtId="10" fontId="2" fillId="2" borderId="10" xfId="2" applyNumberFormat="1" applyFont="1" applyFill="1" applyBorder="1" applyAlignment="1" applyProtection="1">
      <alignment horizontal="center"/>
    </xf>
    <xf numFmtId="168" fontId="2" fillId="2" borderId="10" xfId="1" applyNumberFormat="1" applyFont="1" applyFill="1" applyBorder="1" applyAlignment="1" applyProtection="1">
      <alignment horizontal="center"/>
    </xf>
    <xf numFmtId="40" fontId="2" fillId="2" borderId="10" xfId="0" applyNumberFormat="1" applyFont="1" applyFill="1" applyBorder="1" applyAlignment="1" applyProtection="1">
      <alignment horizontal="center"/>
    </xf>
    <xf numFmtId="164" fontId="2" fillId="2" borderId="0" xfId="3" applyNumberFormat="1" applyFont="1" applyFill="1" applyBorder="1" applyAlignment="1" applyProtection="1">
      <alignment horizontal="center"/>
    </xf>
    <xf numFmtId="40" fontId="5" fillId="2" borderId="14" xfId="0" applyNumberFormat="1" applyFont="1" applyFill="1" applyBorder="1" applyAlignment="1" applyProtection="1">
      <alignment horizontal="center"/>
    </xf>
    <xf numFmtId="38" fontId="5" fillId="2" borderId="14" xfId="0" applyNumberFormat="1" applyFont="1" applyFill="1" applyBorder="1" applyAlignment="1" applyProtection="1">
      <alignment horizontal="center"/>
    </xf>
    <xf numFmtId="169" fontId="2" fillId="2" borderId="0" xfId="0" applyNumberFormat="1" applyFont="1" applyFill="1" applyBorder="1" applyAlignment="1" applyProtection="1">
      <alignment horizontal="center" vertical="center"/>
    </xf>
    <xf numFmtId="10" fontId="5" fillId="2" borderId="3" xfId="2" applyNumberFormat="1" applyFont="1" applyFill="1" applyBorder="1" applyAlignment="1" applyProtection="1">
      <alignment horizontal="centerContinuous"/>
      <protection locked="0"/>
    </xf>
    <xf numFmtId="0" fontId="2" fillId="2" borderId="0" xfId="0" applyFont="1" applyFill="1" applyBorder="1" applyAlignment="1" applyProtection="1">
      <alignment horizontal="centerContinuous"/>
    </xf>
    <xf numFmtId="0" fontId="5" fillId="2" borderId="0" xfId="0" applyFont="1" applyFill="1" applyBorder="1" applyAlignment="1" applyProtection="1">
      <alignment horizontal="centerContinuous"/>
    </xf>
    <xf numFmtId="0" fontId="5" fillId="2" borderId="2" xfId="0" applyFont="1" applyFill="1" applyBorder="1" applyAlignment="1" applyProtection="1">
      <alignment horizontal="centerContinuous"/>
    </xf>
    <xf numFmtId="38" fontId="2" fillId="2" borderId="6" xfId="0" applyNumberFormat="1" applyFont="1" applyFill="1" applyBorder="1" applyAlignment="1" applyProtection="1">
      <alignment horizontal="center" vertical="center"/>
    </xf>
    <xf numFmtId="38" fontId="2" fillId="2" borderId="8" xfId="0" applyNumberFormat="1" applyFont="1" applyFill="1" applyBorder="1" applyAlignment="1" applyProtection="1">
      <alignment horizontal="center"/>
    </xf>
    <xf numFmtId="38" fontId="2" fillId="2" borderId="11" xfId="0" applyNumberFormat="1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164" fontId="5" fillId="2" borderId="4" xfId="3" applyNumberFormat="1" applyFont="1" applyFill="1" applyBorder="1" applyAlignment="1" applyProtection="1">
      <alignment horizontal="center" vertical="center" wrapText="1"/>
    </xf>
    <xf numFmtId="164" fontId="5" fillId="2" borderId="9" xfId="3" applyNumberFormat="1" applyFont="1" applyFill="1" applyBorder="1" applyAlignment="1" applyProtection="1">
      <alignment horizontal="center" vertical="center" wrapText="1"/>
    </xf>
    <xf numFmtId="164" fontId="5" fillId="2" borderId="5" xfId="3" applyNumberFormat="1" applyFont="1" applyFill="1" applyBorder="1" applyAlignment="1" applyProtection="1">
      <alignment horizontal="center" vertical="center" wrapText="1"/>
    </xf>
    <xf numFmtId="164" fontId="5" fillId="2" borderId="10" xfId="3" applyNumberFormat="1" applyFont="1" applyFill="1" applyBorder="1" applyAlignment="1" applyProtection="1">
      <alignment horizontal="center" vertical="center" wrapText="1"/>
    </xf>
    <xf numFmtId="164" fontId="5" fillId="2" borderId="0" xfId="3" applyNumberFormat="1" applyFont="1" applyFill="1" applyBorder="1" applyAlignment="1" applyProtection="1">
      <alignment horizontal="center"/>
      <protection locked="0"/>
    </xf>
    <xf numFmtId="164" fontId="5" fillId="2" borderId="8" xfId="3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166" fontId="5" fillId="2" borderId="0" xfId="0" applyNumberFormat="1" applyFont="1" applyFill="1" applyBorder="1" applyAlignment="1" applyProtection="1">
      <alignment horizontal="center"/>
    </xf>
    <xf numFmtId="166" fontId="5" fillId="2" borderId="8" xfId="0" applyNumberFormat="1" applyFont="1" applyFill="1" applyBorder="1" applyAlignment="1" applyProtection="1">
      <alignment horizontal="center"/>
    </xf>
    <xf numFmtId="164" fontId="5" fillId="2" borderId="10" xfId="3" applyNumberFormat="1" applyFont="1" applyFill="1" applyBorder="1" applyAlignment="1" applyProtection="1">
      <alignment horizontal="center"/>
      <protection locked="0"/>
    </xf>
    <xf numFmtId="164" fontId="5" fillId="2" borderId="11" xfId="3" applyNumberFormat="1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right"/>
    </xf>
    <xf numFmtId="0" fontId="5" fillId="2" borderId="10" xfId="0" applyFont="1" applyFill="1" applyBorder="1" applyAlignment="1" applyProtection="1">
      <alignment horizontal="right"/>
    </xf>
    <xf numFmtId="0" fontId="5" fillId="2" borderId="10" xfId="2" applyNumberFormat="1" applyFont="1" applyFill="1" applyBorder="1" applyAlignment="1" applyProtection="1">
      <alignment horizontal="center"/>
    </xf>
    <xf numFmtId="0" fontId="5" fillId="2" borderId="11" xfId="2" applyNumberFormat="1" applyFont="1" applyFill="1" applyBorder="1" applyAlignment="1" applyProtection="1">
      <alignment horizontal="center"/>
    </xf>
    <xf numFmtId="166" fontId="5" fillId="2" borderId="10" xfId="0" applyNumberFormat="1" applyFont="1" applyFill="1" applyBorder="1" applyAlignment="1" applyProtection="1">
      <alignment horizontal="center"/>
      <protection locked="0"/>
    </xf>
    <xf numFmtId="166" fontId="5" fillId="2" borderId="11" xfId="0" applyNumberFormat="1" applyFont="1" applyFill="1" applyBorder="1" applyAlignment="1" applyProtection="1">
      <alignment horizontal="center"/>
      <protection locked="0"/>
    </xf>
    <xf numFmtId="164" fontId="5" fillId="2" borderId="0" xfId="3" applyNumberFormat="1" applyFont="1" applyFill="1" applyBorder="1" applyAlignment="1" applyProtection="1">
      <alignment horizontal="center"/>
    </xf>
    <xf numFmtId="164" fontId="5" fillId="2" borderId="8" xfId="3" applyNumberFormat="1" applyFont="1" applyFill="1" applyBorder="1" applyAlignment="1" applyProtection="1">
      <alignment horizontal="center"/>
    </xf>
    <xf numFmtId="10" fontId="5" fillId="2" borderId="0" xfId="0" applyNumberFormat="1" applyFont="1" applyFill="1" applyBorder="1" applyAlignment="1" applyProtection="1">
      <alignment horizontal="center"/>
    </xf>
    <xf numFmtId="10" fontId="5" fillId="2" borderId="8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horizontal="center"/>
    </xf>
    <xf numFmtId="165" fontId="5" fillId="2" borderId="8" xfId="0" applyNumberFormat="1" applyFont="1" applyFill="1" applyBorder="1" applyAlignment="1" applyProtection="1">
      <alignment horizontal="center"/>
    </xf>
    <xf numFmtId="2" fontId="5" fillId="2" borderId="0" xfId="0" applyNumberFormat="1" applyFont="1" applyFill="1" applyBorder="1" applyAlignment="1" applyProtection="1">
      <alignment horizontal="center"/>
    </xf>
    <xf numFmtId="2" fontId="5" fillId="2" borderId="8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/>
    <xf numFmtId="0" fontId="4" fillId="2" borderId="3" xfId="0" applyFont="1" applyFill="1" applyBorder="1" applyAlignment="1" applyProtection="1"/>
    <xf numFmtId="164" fontId="5" fillId="2" borderId="5" xfId="3" applyNumberFormat="1" applyFont="1" applyFill="1" applyBorder="1" applyAlignment="1" applyProtection="1">
      <alignment horizontal="center"/>
      <protection locked="0"/>
    </xf>
    <xf numFmtId="164" fontId="5" fillId="2" borderId="6" xfId="3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right"/>
    </xf>
    <xf numFmtId="0" fontId="5" fillId="2" borderId="5" xfId="0" applyFont="1" applyFill="1" applyBorder="1" applyAlignment="1" applyProtection="1">
      <alignment horizontal="right"/>
    </xf>
    <xf numFmtId="10" fontId="5" fillId="2" borderId="5" xfId="0" applyNumberFormat="1" applyFont="1" applyFill="1" applyBorder="1" applyAlignment="1" applyProtection="1">
      <alignment horizontal="center"/>
    </xf>
    <xf numFmtId="10" fontId="5" fillId="2" borderId="6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 applyAlignment="1" applyProtection="1">
      <alignment horizontal="center" vertical="center"/>
    </xf>
    <xf numFmtId="167" fontId="2" fillId="2" borderId="0" xfId="0" applyNumberFormat="1" applyFont="1" applyFill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_Macro Flujos Última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34</xdr:row>
      <xdr:rowOff>0</xdr:rowOff>
    </xdr:from>
    <xdr:to>
      <xdr:col>12</xdr:col>
      <xdr:colOff>9524</xdr:colOff>
      <xdr:row>38</xdr:row>
      <xdr:rowOff>104775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304799" y="5048250"/>
          <a:ext cx="8029575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6</xdr:col>
      <xdr:colOff>152400</xdr:colOff>
      <xdr:row>1</xdr:row>
      <xdr:rowOff>128308</xdr:rowOff>
    </xdr:from>
    <xdr:to>
      <xdr:col>7</xdr:col>
      <xdr:colOff>744751</xdr:colOff>
      <xdr:row>5</xdr:row>
      <xdr:rowOff>3387</xdr:rowOff>
    </xdr:to>
    <xdr:pic>
      <xdr:nvPicPr>
        <xdr:cNvPr id="7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562350" y="271183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1</xdr:row>
      <xdr:rowOff>133350</xdr:rowOff>
    </xdr:from>
    <xdr:to>
      <xdr:col>10</xdr:col>
      <xdr:colOff>57150</xdr:colOff>
      <xdr:row>5</xdr:row>
      <xdr:rowOff>76200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63" t="22392" r="35720" b="22646"/>
        <a:stretch/>
      </xdr:blipFill>
      <xdr:spPr>
        <a:xfrm>
          <a:off x="5267325" y="276225"/>
          <a:ext cx="156210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S41"/>
  <sheetViews>
    <sheetView tabSelected="1" workbookViewId="0">
      <selection activeCell="U12" sqref="U12"/>
    </sheetView>
  </sheetViews>
  <sheetFormatPr baseColWidth="10" defaultColWidth="11.42578125" defaultRowHeight="11.25" x14ac:dyDescent="0.2"/>
  <cols>
    <col min="1" max="1" width="4.5703125" style="1" customWidth="1"/>
    <col min="2" max="3" width="26.140625" style="1" hidden="1" customWidth="1"/>
    <col min="4" max="4" width="19.7109375" style="1" customWidth="1"/>
    <col min="5" max="5" width="14.28515625" style="1" customWidth="1"/>
    <col min="6" max="6" width="8.140625" style="1" customWidth="1"/>
    <col min="7" max="7" width="11.5703125" style="1" customWidth="1"/>
    <col min="8" max="8" width="13.5703125" style="1" customWidth="1"/>
    <col min="9" max="9" width="12.85546875" style="1" customWidth="1"/>
    <col min="10" max="10" width="12.42578125" style="1" customWidth="1"/>
    <col min="11" max="11" width="7.5703125" style="1" customWidth="1"/>
    <col min="12" max="12" width="9.5703125" style="1" customWidth="1"/>
    <col min="13" max="14" width="7" style="1" customWidth="1"/>
    <col min="15" max="15" width="17" style="2" hidden="1" customWidth="1"/>
    <col min="16" max="16" width="10.42578125" style="2" hidden="1" customWidth="1"/>
    <col min="17" max="17" width="11.140625" style="1" hidden="1" customWidth="1"/>
    <col min="18" max="18" width="9.28515625" style="1" hidden="1" customWidth="1"/>
    <col min="19" max="19" width="9.42578125" style="1" hidden="1" customWidth="1"/>
    <col min="20" max="20" width="8.28515625" style="1" customWidth="1"/>
    <col min="21" max="16384" width="11.42578125" style="1"/>
  </cols>
  <sheetData>
    <row r="5" spans="4:14" x14ac:dyDescent="0.2">
      <c r="G5" s="3"/>
      <c r="H5" s="3"/>
    </row>
    <row r="8" spans="4:14" ht="15.75" x14ac:dyDescent="0.25">
      <c r="D8" s="95" t="s">
        <v>32</v>
      </c>
      <c r="E8" s="96"/>
      <c r="F8" s="96"/>
      <c r="G8" s="96"/>
      <c r="H8" s="96"/>
      <c r="I8" s="96"/>
      <c r="J8" s="96"/>
      <c r="K8" s="96"/>
      <c r="L8" s="96"/>
      <c r="M8" s="97"/>
      <c r="N8" s="98"/>
    </row>
    <row r="9" spans="4:14" x14ac:dyDescent="0.2">
      <c r="J9" s="2"/>
    </row>
    <row r="10" spans="4:14" ht="12.75" customHeight="1" x14ac:dyDescent="0.2">
      <c r="D10" s="4" t="s">
        <v>35</v>
      </c>
      <c r="E10" s="99">
        <v>44887</v>
      </c>
      <c r="F10" s="100"/>
      <c r="G10" s="101" t="s">
        <v>0</v>
      </c>
      <c r="H10" s="102"/>
      <c r="I10" s="103">
        <f>XIRR(L26:L30,B26:B30,0.14)</f>
        <v>9.9713342785835296E-2</v>
      </c>
      <c r="J10" s="104"/>
      <c r="K10" s="101" t="s">
        <v>1</v>
      </c>
      <c r="L10" s="102"/>
      <c r="M10" s="103">
        <v>1</v>
      </c>
      <c r="N10" s="104"/>
    </row>
    <row r="11" spans="4:14" ht="12.75" customHeight="1" x14ac:dyDescent="0.2">
      <c r="D11" s="5" t="s">
        <v>2</v>
      </c>
      <c r="E11" s="87">
        <f>+D30</f>
        <v>45618</v>
      </c>
      <c r="F11" s="88"/>
      <c r="G11" s="73" t="s">
        <v>3</v>
      </c>
      <c r="H11" s="74"/>
      <c r="I11" s="89">
        <f>+NOMINAL(I10,2)</f>
        <v>9.7344361601914287E-2</v>
      </c>
      <c r="J11" s="90"/>
      <c r="K11" s="73" t="s">
        <v>4</v>
      </c>
      <c r="L11" s="74"/>
      <c r="M11" s="91">
        <f>+ROUND((E14-E10)*VLOOKUP(E10,D25:G30,4,FALSE)*(VLOOKUP(E10,D25:J30,7,FALSE)/100)/365,4)</f>
        <v>2.8000000000000001E-2</v>
      </c>
      <c r="N11" s="92"/>
    </row>
    <row r="12" spans="4:14" ht="12.75" customHeight="1" x14ac:dyDescent="0.2">
      <c r="D12" s="5" t="s">
        <v>5</v>
      </c>
      <c r="E12" s="89" t="s">
        <v>6</v>
      </c>
      <c r="F12" s="90"/>
      <c r="G12" s="73" t="s">
        <v>7</v>
      </c>
      <c r="H12" s="74"/>
      <c r="I12" s="93">
        <f>+(S31/R31)</f>
        <v>1.5941644592710651</v>
      </c>
      <c r="J12" s="94"/>
      <c r="K12" s="73" t="s">
        <v>8</v>
      </c>
      <c r="L12" s="74"/>
      <c r="M12" s="91">
        <f>+M10+M11</f>
        <v>1.028</v>
      </c>
      <c r="N12" s="92"/>
    </row>
    <row r="13" spans="4:14" ht="12.75" customHeight="1" x14ac:dyDescent="0.2">
      <c r="D13" s="5" t="s">
        <v>9</v>
      </c>
      <c r="E13" s="71">
        <f>E11</f>
        <v>45618</v>
      </c>
      <c r="F13" s="72"/>
      <c r="G13" s="73" t="s">
        <v>31</v>
      </c>
      <c r="H13" s="74"/>
      <c r="I13" s="75" t="s">
        <v>33</v>
      </c>
      <c r="J13" s="76"/>
      <c r="K13" s="73" t="s">
        <v>10</v>
      </c>
      <c r="L13" s="74"/>
      <c r="M13" s="77">
        <f>+M14*M12</f>
        <v>30840000</v>
      </c>
      <c r="N13" s="78"/>
    </row>
    <row r="14" spans="4:14" ht="12.75" customHeight="1" x14ac:dyDescent="0.2">
      <c r="D14" s="6" t="s">
        <v>34</v>
      </c>
      <c r="E14" s="79">
        <v>44992</v>
      </c>
      <c r="F14" s="80"/>
      <c r="G14" s="81" t="s">
        <v>30</v>
      </c>
      <c r="H14" s="82"/>
      <c r="I14" s="83">
        <v>20</v>
      </c>
      <c r="J14" s="84"/>
      <c r="K14" s="81" t="s">
        <v>29</v>
      </c>
      <c r="L14" s="82"/>
      <c r="M14" s="85">
        <v>30000000</v>
      </c>
      <c r="N14" s="86"/>
    </row>
    <row r="15" spans="4:14" x14ac:dyDescent="0.2">
      <c r="E15" s="7"/>
      <c r="F15" s="8"/>
      <c r="G15" s="8"/>
      <c r="J15" s="9"/>
      <c r="K15" s="10"/>
    </row>
    <row r="16" spans="4:14" x14ac:dyDescent="0.2">
      <c r="G16" s="11" t="s">
        <v>11</v>
      </c>
      <c r="H16" s="12" t="s">
        <v>12</v>
      </c>
      <c r="I16" s="12" t="s">
        <v>13</v>
      </c>
      <c r="J16" s="13" t="s">
        <v>14</v>
      </c>
      <c r="K16" s="10"/>
    </row>
    <row r="17" spans="1:19" x14ac:dyDescent="0.2">
      <c r="G17" s="14">
        <f>+D27</f>
        <v>45068</v>
      </c>
      <c r="H17" s="15">
        <f>+$M$14*I27/100</f>
        <v>0</v>
      </c>
      <c r="I17" s="15">
        <f>+$M$14*H27/100</f>
        <v>1450479.4520547946</v>
      </c>
      <c r="J17" s="16">
        <f>SUM(H17:I17)</f>
        <v>1450479.4520547946</v>
      </c>
      <c r="K17" s="10"/>
    </row>
    <row r="18" spans="1:19" x14ac:dyDescent="0.2">
      <c r="G18" s="14">
        <f>+D28</f>
        <v>45252</v>
      </c>
      <c r="H18" s="15">
        <f>+$M$14*I28/100</f>
        <v>0</v>
      </c>
      <c r="I18" s="15">
        <f>+$M$14*H28/100</f>
        <v>1474520.5479452056</v>
      </c>
      <c r="J18" s="16">
        <f>SUM(H18:I18)</f>
        <v>1474520.5479452056</v>
      </c>
      <c r="K18" s="10"/>
    </row>
    <row r="19" spans="1:19" x14ac:dyDescent="0.2">
      <c r="G19" s="14">
        <f>+D29</f>
        <v>45434</v>
      </c>
      <c r="H19" s="15">
        <f>+$M$14*I29/100</f>
        <v>0</v>
      </c>
      <c r="I19" s="15">
        <f>+$M$14*H29/100</f>
        <v>1458493.1506849318</v>
      </c>
      <c r="J19" s="16">
        <f>SUM(H19:I19)</f>
        <v>1458493.1506849318</v>
      </c>
      <c r="K19" s="10"/>
    </row>
    <row r="20" spans="1:19" x14ac:dyDescent="0.2">
      <c r="G20" s="14">
        <f>+D30</f>
        <v>45618</v>
      </c>
      <c r="H20" s="15">
        <f>+$M$14*I30/100</f>
        <v>30000000</v>
      </c>
      <c r="I20" s="15">
        <f>+$M$14*H30/100</f>
        <v>1474520.5479452056</v>
      </c>
      <c r="J20" s="16">
        <f>SUM(H20:I20)</f>
        <v>31474520.547945205</v>
      </c>
      <c r="K20" s="10"/>
    </row>
    <row r="21" spans="1:19" x14ac:dyDescent="0.2">
      <c r="G21" s="17" t="s">
        <v>14</v>
      </c>
      <c r="H21" s="18">
        <f>SUM(H17:H20)</f>
        <v>30000000</v>
      </c>
      <c r="I21" s="18">
        <f>SUM(I17:I20)</f>
        <v>5858013.6986301374</v>
      </c>
      <c r="J21" s="19">
        <f>SUM(H21:I21)</f>
        <v>35858013.698630139</v>
      </c>
      <c r="K21" s="10"/>
    </row>
    <row r="22" spans="1:19" x14ac:dyDescent="0.2">
      <c r="E22" s="20"/>
      <c r="F22" s="8"/>
      <c r="G22" s="8"/>
      <c r="J22" s="9"/>
      <c r="K22" s="10"/>
    </row>
    <row r="23" spans="1:19" ht="14.25" customHeight="1" x14ac:dyDescent="0.2">
      <c r="D23" s="67" t="s">
        <v>15</v>
      </c>
      <c r="E23" s="69" t="s">
        <v>16</v>
      </c>
      <c r="F23" s="69" t="s">
        <v>17</v>
      </c>
      <c r="G23" s="69" t="s">
        <v>18</v>
      </c>
      <c r="H23" s="61" t="s">
        <v>13</v>
      </c>
      <c r="I23" s="61" t="s">
        <v>19</v>
      </c>
      <c r="J23" s="61" t="s">
        <v>20</v>
      </c>
      <c r="K23" s="63" t="s">
        <v>21</v>
      </c>
      <c r="L23" s="65" t="s">
        <v>22</v>
      </c>
      <c r="M23" s="57" t="s">
        <v>28</v>
      </c>
      <c r="N23" s="54">
        <v>9.7500000000000003E-2</v>
      </c>
      <c r="O23" s="21" t="s">
        <v>23</v>
      </c>
      <c r="P23" s="22" t="s">
        <v>24</v>
      </c>
      <c r="Q23" s="1" t="s">
        <v>25</v>
      </c>
      <c r="R23" s="1" t="s">
        <v>26</v>
      </c>
      <c r="S23" s="1" t="s">
        <v>27</v>
      </c>
    </row>
    <row r="24" spans="1:19" x14ac:dyDescent="0.2">
      <c r="D24" s="68"/>
      <c r="E24" s="70"/>
      <c r="F24" s="70"/>
      <c r="G24" s="70"/>
      <c r="H24" s="62"/>
      <c r="I24" s="62"/>
      <c r="J24" s="62"/>
      <c r="K24" s="64"/>
      <c r="L24" s="66"/>
      <c r="M24" s="56"/>
      <c r="N24" s="55"/>
      <c r="O24" s="23"/>
      <c r="P24" s="24">
        <f>+I10</f>
        <v>9.9713342785835296E-2</v>
      </c>
    </row>
    <row r="25" spans="1:19" x14ac:dyDescent="0.2">
      <c r="D25" s="25"/>
      <c r="E25" s="26"/>
      <c r="F25" s="26"/>
      <c r="G25" s="27">
        <f>+G26</f>
        <v>9.7500000000000003E-2</v>
      </c>
      <c r="H25" s="28"/>
      <c r="I25" s="28"/>
      <c r="J25" s="29">
        <f>+J26</f>
        <v>100</v>
      </c>
      <c r="K25" s="28"/>
      <c r="L25" s="28"/>
      <c r="M25" s="55"/>
      <c r="N25" s="55"/>
      <c r="O25" s="23"/>
      <c r="P25" s="24"/>
    </row>
    <row r="26" spans="1:19" s="30" customFormat="1" x14ac:dyDescent="0.2">
      <c r="B26" s="105">
        <f>+E14</f>
        <v>44992</v>
      </c>
      <c r="C26" s="31">
        <f>+E10</f>
        <v>44887</v>
      </c>
      <c r="D26" s="32">
        <f>+C26</f>
        <v>44887</v>
      </c>
      <c r="E26" s="33"/>
      <c r="F26" s="33"/>
      <c r="G26" s="34">
        <f>+N27+N23</f>
        <v>9.7500000000000003E-2</v>
      </c>
      <c r="H26" s="33"/>
      <c r="I26" s="33"/>
      <c r="J26" s="35">
        <v>100</v>
      </c>
      <c r="K26" s="35">
        <f>-M12*100</f>
        <v>-102.8</v>
      </c>
      <c r="L26" s="58">
        <f>+M13*-1</f>
        <v>-30840000</v>
      </c>
      <c r="M26" s="55"/>
      <c r="N26" s="55"/>
      <c r="O26" s="36"/>
      <c r="P26" s="36"/>
    </row>
    <row r="27" spans="1:19" s="30" customFormat="1" x14ac:dyDescent="0.2">
      <c r="B27" s="106">
        <f>+C27</f>
        <v>45068</v>
      </c>
      <c r="C27" s="31">
        <v>45068</v>
      </c>
      <c r="D27" s="37">
        <f>+C27</f>
        <v>45068</v>
      </c>
      <c r="E27" s="38">
        <f>+C27-C26</f>
        <v>181</v>
      </c>
      <c r="F27" s="38">
        <f>+IF(D27-$E$10&lt;0,0,D27-$E$10)</f>
        <v>181</v>
      </c>
      <c r="G27" s="39">
        <f>$N$23</f>
        <v>9.7500000000000003E-2</v>
      </c>
      <c r="H27" s="40">
        <f>+G27/365*E27*J26</f>
        <v>4.8349315068493155</v>
      </c>
      <c r="I27" s="41">
        <v>0</v>
      </c>
      <c r="J27" s="41">
        <f>+J26-I27</f>
        <v>100</v>
      </c>
      <c r="K27" s="41">
        <f>+IF(D27&gt;$E$14,H27+I27,0)</f>
        <v>4.8349315068493155</v>
      </c>
      <c r="L27" s="59">
        <f>+K27*$M$14/100</f>
        <v>1450479.4520547946</v>
      </c>
      <c r="M27" s="55"/>
      <c r="N27" s="55"/>
      <c r="O27" s="42">
        <f>F27/365</f>
        <v>0.49589041095890413</v>
      </c>
      <c r="P27" s="42">
        <f>1/(1+$I$10)^(F27/365)</f>
        <v>0.95395940618744612</v>
      </c>
      <c r="Q27" s="43">
        <f>+K27</f>
        <v>4.8349315068493155</v>
      </c>
      <c r="R27" s="43">
        <f>+Q27*P27</f>
        <v>4.6123283892309468</v>
      </c>
      <c r="S27" s="43">
        <f>+R27*O27</f>
        <v>2.2872094204131543</v>
      </c>
    </row>
    <row r="28" spans="1:19" x14ac:dyDescent="0.2">
      <c r="A28" s="2"/>
      <c r="B28" s="106">
        <f t="shared" ref="B28:B30" si="0">+C28</f>
        <v>45252</v>
      </c>
      <c r="C28" s="44">
        <v>45252</v>
      </c>
      <c r="D28" s="37">
        <f>+C28</f>
        <v>45252</v>
      </c>
      <c r="E28" s="38">
        <f>+C28-C27</f>
        <v>184</v>
      </c>
      <c r="F28" s="38">
        <f t="shared" ref="F28:F30" si="1">+IF(D28-$E$14&lt;0,0,D28-$E$14)</f>
        <v>260</v>
      </c>
      <c r="G28" s="39">
        <f t="shared" ref="G28:G30" si="2">$N$23</f>
        <v>9.7500000000000003E-2</v>
      </c>
      <c r="H28" s="40">
        <f>+G28/365*E28*J27</f>
        <v>4.9150684931506854</v>
      </c>
      <c r="I28" s="41">
        <v>0</v>
      </c>
      <c r="J28" s="41">
        <f>+J27-I28</f>
        <v>100</v>
      </c>
      <c r="K28" s="41">
        <f>+IF(D28&gt;$E$14,H28+I28,0)</f>
        <v>4.9150684931506854</v>
      </c>
      <c r="L28" s="59">
        <f>+K28*$M$14/100</f>
        <v>1474520.5479452056</v>
      </c>
      <c r="M28" s="55"/>
      <c r="N28" s="55"/>
      <c r="O28" s="42">
        <f>F28/365</f>
        <v>0.71232876712328763</v>
      </c>
      <c r="P28" s="42">
        <f>1/(1+$I$10)^(F28/365)</f>
        <v>0.93453469346735518</v>
      </c>
      <c r="Q28" s="43">
        <f>+K28</f>
        <v>4.9150684931506854</v>
      </c>
      <c r="R28" s="43">
        <f>+Q28*P28</f>
        <v>4.5933020276176313</v>
      </c>
      <c r="S28" s="43">
        <f>+R28*O28</f>
        <v>3.2719411703577648</v>
      </c>
    </row>
    <row r="29" spans="1:19" x14ac:dyDescent="0.2">
      <c r="A29" s="2"/>
      <c r="B29" s="106">
        <f t="shared" si="0"/>
        <v>45434</v>
      </c>
      <c r="C29" s="44">
        <v>45434</v>
      </c>
      <c r="D29" s="37">
        <f>+C29</f>
        <v>45434</v>
      </c>
      <c r="E29" s="38">
        <f>+C29-C28</f>
        <v>182</v>
      </c>
      <c r="F29" s="38">
        <f t="shared" si="1"/>
        <v>442</v>
      </c>
      <c r="G29" s="39">
        <f t="shared" si="2"/>
        <v>9.7500000000000003E-2</v>
      </c>
      <c r="H29" s="40">
        <f>+G29/365*E29*J28</f>
        <v>4.8616438356164391</v>
      </c>
      <c r="I29" s="41">
        <v>0</v>
      </c>
      <c r="J29" s="41">
        <f>+J28-I29</f>
        <v>100</v>
      </c>
      <c r="K29" s="41">
        <f>+IF(D29&gt;$E$14,H29+I29,0)</f>
        <v>4.8616438356164391</v>
      </c>
      <c r="L29" s="59">
        <f>+K29*$M$14/100</f>
        <v>1458493.1506849318</v>
      </c>
      <c r="M29" s="55"/>
      <c r="N29" s="55"/>
      <c r="O29" s="42">
        <f>F29/365</f>
        <v>1.210958904109589</v>
      </c>
      <c r="P29" s="42">
        <f>1/(1+$I$10)^(F29/365)</f>
        <v>0.89127603407502998</v>
      </c>
      <c r="Q29" s="43">
        <f>+K29</f>
        <v>4.8616438356164391</v>
      </c>
      <c r="R29" s="43">
        <f>+Q29*P29</f>
        <v>4.3330666368935367</v>
      </c>
      <c r="S29" s="43">
        <f>+R29*O29</f>
        <v>5.247165626046419</v>
      </c>
    </row>
    <row r="30" spans="1:19" x14ac:dyDescent="0.2">
      <c r="A30" s="2"/>
      <c r="B30" s="106">
        <f t="shared" si="0"/>
        <v>45618</v>
      </c>
      <c r="C30" s="44">
        <v>45618</v>
      </c>
      <c r="D30" s="45">
        <f>+C30</f>
        <v>45618</v>
      </c>
      <c r="E30" s="46">
        <f>+D30-C29</f>
        <v>184</v>
      </c>
      <c r="F30" s="46">
        <f t="shared" si="1"/>
        <v>626</v>
      </c>
      <c r="G30" s="47">
        <f t="shared" si="2"/>
        <v>9.7500000000000003E-2</v>
      </c>
      <c r="H30" s="48">
        <f>+G30/365*E30*J29</f>
        <v>4.9150684931506854</v>
      </c>
      <c r="I30" s="49">
        <v>100</v>
      </c>
      <c r="J30" s="49">
        <f>+J29-I30</f>
        <v>0</v>
      </c>
      <c r="K30" s="49">
        <f>+IF(D30&gt;$E$14,H30+I30,0)</f>
        <v>104.91506849315068</v>
      </c>
      <c r="L30" s="60">
        <f>+K30*$M$14/100</f>
        <v>31474520.547945205</v>
      </c>
      <c r="M30" s="55"/>
      <c r="N30" s="55"/>
      <c r="O30" s="42">
        <f>F30/365</f>
        <v>1.715068493150685</v>
      </c>
      <c r="P30" s="42">
        <f>1/(1+$I$10)^(F30/365)</f>
        <v>0.84957718241864555</v>
      </c>
      <c r="Q30" s="43">
        <f>+K30</f>
        <v>104.91506849315068</v>
      </c>
      <c r="R30" s="43">
        <f>+Q30*P30</f>
        <v>89.133448283670177</v>
      </c>
      <c r="S30" s="43">
        <f>+R30*O30</f>
        <v>152.86996883719871</v>
      </c>
    </row>
    <row r="31" spans="1:19" x14ac:dyDescent="0.2">
      <c r="D31" s="50"/>
      <c r="E31" s="38"/>
      <c r="F31" s="38"/>
      <c r="G31" s="38"/>
      <c r="H31" s="38"/>
      <c r="I31" s="51">
        <f>SUM(I27:I30)</f>
        <v>100</v>
      </c>
      <c r="J31" s="41"/>
      <c r="K31" s="41"/>
      <c r="L31" s="52">
        <f>SUM(L26:L30)</f>
        <v>5018013.6986301355</v>
      </c>
      <c r="M31" s="55"/>
      <c r="N31" s="55"/>
      <c r="O31" s="53"/>
      <c r="P31" s="53"/>
      <c r="Q31" s="43"/>
      <c r="R31" s="43">
        <f>SUM(R27:R30)</f>
        <v>102.67214533741229</v>
      </c>
      <c r="S31" s="43">
        <f>SUM(S27:S30)</f>
        <v>163.67628505401606</v>
      </c>
    </row>
    <row r="41" ht="5.25" customHeight="1" x14ac:dyDescent="0.2"/>
  </sheetData>
  <mergeCells count="35">
    <mergeCell ref="D8:N8"/>
    <mergeCell ref="E10:F10"/>
    <mergeCell ref="G10:H10"/>
    <mergeCell ref="I10:J10"/>
    <mergeCell ref="K10:L10"/>
    <mergeCell ref="M10:N10"/>
    <mergeCell ref="E12:F12"/>
    <mergeCell ref="G12:H12"/>
    <mergeCell ref="I12:J12"/>
    <mergeCell ref="K12:L12"/>
    <mergeCell ref="M12:N12"/>
    <mergeCell ref="E11:F11"/>
    <mergeCell ref="G11:H11"/>
    <mergeCell ref="I11:J11"/>
    <mergeCell ref="K11:L11"/>
    <mergeCell ref="M11:N11"/>
    <mergeCell ref="E14:F14"/>
    <mergeCell ref="G14:H14"/>
    <mergeCell ref="I14:J14"/>
    <mergeCell ref="K14:L14"/>
    <mergeCell ref="M14:N14"/>
    <mergeCell ref="E13:F13"/>
    <mergeCell ref="G13:H13"/>
    <mergeCell ref="I13:J13"/>
    <mergeCell ref="K13:L13"/>
    <mergeCell ref="M13:N13"/>
    <mergeCell ref="J23:J24"/>
    <mergeCell ref="K23:K24"/>
    <mergeCell ref="L23:L24"/>
    <mergeCell ref="D23:D24"/>
    <mergeCell ref="E23:E24"/>
    <mergeCell ref="F23:F24"/>
    <mergeCell ref="G23:G24"/>
    <mergeCell ref="H23:H24"/>
    <mergeCell ref="I23:I2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Edenor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Jorge Zambon</dc:creator>
  <cp:lastModifiedBy>Mauro Jorge Zambon</cp:lastModifiedBy>
  <dcterms:created xsi:type="dcterms:W3CDTF">2023-03-03T14:33:38Z</dcterms:created>
  <dcterms:modified xsi:type="dcterms:W3CDTF">2023-03-03T15:31:54Z</dcterms:modified>
</cp:coreProperties>
</file>