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EL NORTE CORDOBES\Difusión\"/>
    </mc:Choice>
  </mc:AlternateContent>
  <bookViews>
    <workbookView xWindow="0" yWindow="0" windowWidth="20490" windowHeight="7620" activeTab="1"/>
  </bookViews>
  <sheets>
    <sheet name="CLASE I (ARS)" sheetId="12" r:id="rId1"/>
    <sheet name="CLASE II (DL)" sheetId="14" r:id="rId2"/>
    <sheet name="Feriados" sheetId="5" state="hidden" r:id="rId3"/>
    <sheet name="Hoja2" sheetId="7" state="hidden" r:id="rId4"/>
  </sheets>
  <definedNames>
    <definedName name="_xlnm.Print_Area" localSheetId="0">'CLASE I (ARS)'!$D$1:$P$50</definedName>
    <definedName name="_xlnm.Print_Area" localSheetId="1">'CLASE II (DL)'!$D$1:$P$50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4" l="1"/>
  <c r="I38" i="14" l="1"/>
  <c r="I32" i="14"/>
  <c r="I33" i="14"/>
  <c r="I34" i="14"/>
  <c r="I35" i="14"/>
  <c r="I36" i="14"/>
  <c r="I37" i="14"/>
  <c r="I31" i="14"/>
  <c r="K40" i="14"/>
  <c r="Q39" i="14"/>
  <c r="C38" i="14"/>
  <c r="C37" i="14"/>
  <c r="C36" i="14"/>
  <c r="C35" i="14"/>
  <c r="C34" i="14"/>
  <c r="C33" i="14"/>
  <c r="C32" i="14"/>
  <c r="L31" i="14"/>
  <c r="L32" i="14" s="1"/>
  <c r="L33" i="14" s="1"/>
  <c r="L34" i="14" s="1"/>
  <c r="L35" i="14" s="1"/>
  <c r="L36" i="14" s="1"/>
  <c r="Q30" i="14"/>
  <c r="N30" i="14"/>
  <c r="M30" i="14"/>
  <c r="S30" i="14" s="1"/>
  <c r="I30" i="14"/>
  <c r="I29" i="14" s="1"/>
  <c r="E30" i="14"/>
  <c r="F30" i="14" s="1"/>
  <c r="B30" i="14"/>
  <c r="C31" i="14" s="1"/>
  <c r="L29" i="14"/>
  <c r="J24" i="14"/>
  <c r="J23" i="14"/>
  <c r="J22" i="14"/>
  <c r="J21" i="14"/>
  <c r="J20" i="14"/>
  <c r="J19" i="14"/>
  <c r="J18" i="14"/>
  <c r="J17" i="14"/>
  <c r="G14" i="14"/>
  <c r="D30" i="14" s="1"/>
  <c r="J18" i="12"/>
  <c r="J19" i="12"/>
  <c r="J20" i="12"/>
  <c r="J21" i="12"/>
  <c r="J22" i="12"/>
  <c r="J23" i="12"/>
  <c r="J24" i="12"/>
  <c r="O33" i="12"/>
  <c r="I33" i="12" s="1"/>
  <c r="O34" i="12"/>
  <c r="I34" i="12" s="1"/>
  <c r="O35" i="12"/>
  <c r="O36" i="12"/>
  <c r="I36" i="12" s="1"/>
  <c r="O37" i="12"/>
  <c r="I37" i="12" s="1"/>
  <c r="O38" i="12"/>
  <c r="I38" i="12" s="1"/>
  <c r="I35" i="12"/>
  <c r="C37" i="12"/>
  <c r="C38" i="12"/>
  <c r="I31" i="12"/>
  <c r="C33" i="12"/>
  <c r="C34" i="12"/>
  <c r="C35" i="12"/>
  <c r="C36" i="12"/>
  <c r="J25" i="14" l="1"/>
  <c r="L38" i="14"/>
  <c r="L37" i="14"/>
  <c r="E31" i="14"/>
  <c r="G14" i="12"/>
  <c r="O32" i="12"/>
  <c r="I32" i="12" s="1"/>
  <c r="F31" i="14" l="1"/>
  <c r="G31" i="14"/>
  <c r="J31" i="14" s="1"/>
  <c r="K17" i="14" s="1"/>
  <c r="E32" i="14"/>
  <c r="K40" i="12"/>
  <c r="Q39" i="12"/>
  <c r="C32" i="12"/>
  <c r="L31" i="12"/>
  <c r="Q30" i="12"/>
  <c r="N30" i="12"/>
  <c r="M30" i="12"/>
  <c r="S30" i="12" s="1"/>
  <c r="I30" i="12"/>
  <c r="I29" i="12" s="1"/>
  <c r="E30" i="12"/>
  <c r="F30" i="12" s="1"/>
  <c r="B30" i="12"/>
  <c r="C31" i="12" s="1"/>
  <c r="L29" i="12"/>
  <c r="J17" i="12"/>
  <c r="D30" i="12"/>
  <c r="L17" i="14" l="1"/>
  <c r="I17" i="14"/>
  <c r="M31" i="14"/>
  <c r="S31" i="14" s="1"/>
  <c r="H31" i="14"/>
  <c r="Q31" i="14" s="1"/>
  <c r="D31" i="14"/>
  <c r="E33" i="14"/>
  <c r="F32" i="14"/>
  <c r="G32" i="14"/>
  <c r="J32" i="14" s="1"/>
  <c r="K18" i="14" s="1"/>
  <c r="L18" i="14" s="1"/>
  <c r="L32" i="12"/>
  <c r="J25" i="12"/>
  <c r="E31" i="12"/>
  <c r="I18" i="14" l="1"/>
  <c r="M32" i="14"/>
  <c r="S32" i="14" s="1"/>
  <c r="H32" i="14"/>
  <c r="Q32" i="14" s="1"/>
  <c r="D32" i="14"/>
  <c r="N31" i="14"/>
  <c r="F33" i="14"/>
  <c r="G33" i="14"/>
  <c r="J33" i="14" s="1"/>
  <c r="K19" i="14" s="1"/>
  <c r="L19" i="14" s="1"/>
  <c r="E34" i="14"/>
  <c r="L33" i="12"/>
  <c r="F31" i="12"/>
  <c r="I17" i="12" s="1"/>
  <c r="E32" i="12"/>
  <c r="G31" i="12"/>
  <c r="J31" i="12" s="1"/>
  <c r="N32" i="14" l="1"/>
  <c r="G34" i="14"/>
  <c r="J34" i="14" s="1"/>
  <c r="K20" i="14" s="1"/>
  <c r="L20" i="14" s="1"/>
  <c r="E35" i="14"/>
  <c r="F34" i="14"/>
  <c r="M33" i="14"/>
  <c r="S33" i="14" s="1"/>
  <c r="H33" i="14"/>
  <c r="Q33" i="14" s="1"/>
  <c r="D33" i="14"/>
  <c r="I19" i="14"/>
  <c r="K17" i="12"/>
  <c r="L17" i="12" s="1"/>
  <c r="M31" i="12"/>
  <c r="N31" i="12" s="1"/>
  <c r="L34" i="12"/>
  <c r="F32" i="12"/>
  <c r="G32" i="12"/>
  <c r="J32" i="12" s="1"/>
  <c r="K18" i="12" s="1"/>
  <c r="L18" i="12" s="1"/>
  <c r="E33" i="12"/>
  <c r="H31" i="12"/>
  <c r="Q31" i="12" s="1"/>
  <c r="D31" i="12"/>
  <c r="I18" i="12" l="1"/>
  <c r="H32" i="12"/>
  <c r="Q32" i="12" s="1"/>
  <c r="M32" i="12"/>
  <c r="M34" i="14"/>
  <c r="S34" i="14" s="1"/>
  <c r="H34" i="14"/>
  <c r="Q34" i="14" s="1"/>
  <c r="D34" i="14"/>
  <c r="I20" i="14"/>
  <c r="N33" i="14"/>
  <c r="G35" i="14"/>
  <c r="J35" i="14" s="1"/>
  <c r="K21" i="14" s="1"/>
  <c r="E36" i="14"/>
  <c r="F35" i="14"/>
  <c r="L35" i="12"/>
  <c r="E34" i="12"/>
  <c r="F33" i="12"/>
  <c r="G33" i="12"/>
  <c r="J33" i="12" s="1"/>
  <c r="K19" i="12" s="1"/>
  <c r="L19" i="12" s="1"/>
  <c r="S31" i="12"/>
  <c r="D32" i="12"/>
  <c r="I19" i="12" l="1"/>
  <c r="H33" i="12"/>
  <c r="Q33" i="12" s="1"/>
  <c r="M33" i="12"/>
  <c r="D35" i="14"/>
  <c r="I21" i="14"/>
  <c r="M35" i="14"/>
  <c r="S35" i="14" s="1"/>
  <c r="H35" i="14"/>
  <c r="Q35" i="14" s="1"/>
  <c r="E37" i="14"/>
  <c r="F36" i="14"/>
  <c r="G36" i="14"/>
  <c r="N34" i="14"/>
  <c r="L21" i="14"/>
  <c r="L36" i="12"/>
  <c r="N32" i="12"/>
  <c r="D33" i="12"/>
  <c r="E35" i="12"/>
  <c r="F34" i="12"/>
  <c r="G34" i="12"/>
  <c r="J34" i="12" s="1"/>
  <c r="K20" i="12" s="1"/>
  <c r="L20" i="12" s="1"/>
  <c r="J36" i="14" l="1"/>
  <c r="K22" i="14" s="1"/>
  <c r="L22" i="14" s="1"/>
  <c r="N33" i="12"/>
  <c r="S33" i="12"/>
  <c r="I20" i="12"/>
  <c r="H34" i="12"/>
  <c r="Q34" i="12" s="1"/>
  <c r="M34" i="12"/>
  <c r="E38" i="14"/>
  <c r="F37" i="14"/>
  <c r="G37" i="14"/>
  <c r="J37" i="14" s="1"/>
  <c r="K23" i="14" s="1"/>
  <c r="I22" i="14"/>
  <c r="H36" i="14"/>
  <c r="Q36" i="14" s="1"/>
  <c r="D36" i="14"/>
  <c r="N35" i="14"/>
  <c r="L37" i="12"/>
  <c r="L38" i="12"/>
  <c r="S32" i="12"/>
  <c r="E36" i="12"/>
  <c r="E37" i="12" s="1"/>
  <c r="G35" i="12"/>
  <c r="J35" i="12" s="1"/>
  <c r="K21" i="12" s="1"/>
  <c r="L21" i="12" s="1"/>
  <c r="F35" i="12"/>
  <c r="D34" i="12"/>
  <c r="M36" i="14" l="1"/>
  <c r="S36" i="14" s="1"/>
  <c r="I21" i="12"/>
  <c r="H35" i="12"/>
  <c r="Q35" i="12" s="1"/>
  <c r="M35" i="12"/>
  <c r="F37" i="12"/>
  <c r="G37" i="12"/>
  <c r="J37" i="12" s="1"/>
  <c r="K23" i="12" s="1"/>
  <c r="L23" i="12" s="1"/>
  <c r="E38" i="12"/>
  <c r="G38" i="12" s="1"/>
  <c r="J38" i="12"/>
  <c r="K24" i="12" s="1"/>
  <c r="L24" i="12" s="1"/>
  <c r="N34" i="12"/>
  <c r="S34" i="12"/>
  <c r="M37" i="14"/>
  <c r="S37" i="14" s="1"/>
  <c r="H37" i="14"/>
  <c r="Q37" i="14" s="1"/>
  <c r="D37" i="14"/>
  <c r="I23" i="14"/>
  <c r="G38" i="14"/>
  <c r="J38" i="14" s="1"/>
  <c r="K24" i="14" s="1"/>
  <c r="L24" i="14" s="1"/>
  <c r="F38" i="14"/>
  <c r="L23" i="14"/>
  <c r="D35" i="12"/>
  <c r="F36" i="12"/>
  <c r="G36" i="12"/>
  <c r="J36" i="12" s="1"/>
  <c r="K22" i="12" s="1"/>
  <c r="L22" i="12" s="1"/>
  <c r="M37" i="12" l="1"/>
  <c r="N36" i="14"/>
  <c r="D37" i="12"/>
  <c r="H37" i="12"/>
  <c r="Q37" i="12" s="1"/>
  <c r="I23" i="12"/>
  <c r="N35" i="12"/>
  <c r="S35" i="12"/>
  <c r="I22" i="12"/>
  <c r="H36" i="12"/>
  <c r="Q36" i="12" s="1"/>
  <c r="M36" i="12"/>
  <c r="K25" i="14"/>
  <c r="L25" i="14" s="1"/>
  <c r="N37" i="14"/>
  <c r="M38" i="14"/>
  <c r="S38" i="14" s="1"/>
  <c r="H38" i="14"/>
  <c r="Q38" i="14" s="1"/>
  <c r="D38" i="14"/>
  <c r="I24" i="14"/>
  <c r="G11" i="14"/>
  <c r="N37" i="12"/>
  <c r="S37" i="12"/>
  <c r="F38" i="12"/>
  <c r="D36" i="12"/>
  <c r="N36" i="12" l="1"/>
  <c r="S36" i="12"/>
  <c r="H38" i="12"/>
  <c r="Q38" i="12" s="1"/>
  <c r="M38" i="12"/>
  <c r="N38" i="14"/>
  <c r="K10" i="14" s="1"/>
  <c r="I24" i="12"/>
  <c r="D38" i="12"/>
  <c r="K25" i="12"/>
  <c r="L25" i="12" s="1"/>
  <c r="G11" i="12"/>
  <c r="R28" i="14" l="1"/>
  <c r="R35" i="14"/>
  <c r="T35" i="14" s="1"/>
  <c r="U35" i="14" s="1"/>
  <c r="R32" i="14"/>
  <c r="T32" i="14" s="1"/>
  <c r="U32" i="14" s="1"/>
  <c r="R33" i="14"/>
  <c r="T33" i="14" s="1"/>
  <c r="U33" i="14" s="1"/>
  <c r="R38" i="14"/>
  <c r="T38" i="14" s="1"/>
  <c r="U38" i="14" s="1"/>
  <c r="K11" i="14"/>
  <c r="R36" i="14"/>
  <c r="T36" i="14" s="1"/>
  <c r="U36" i="14" s="1"/>
  <c r="R37" i="14"/>
  <c r="T37" i="14" s="1"/>
  <c r="U37" i="14" s="1"/>
  <c r="R34" i="14"/>
  <c r="T34" i="14" s="1"/>
  <c r="U34" i="14" s="1"/>
  <c r="N38" i="12"/>
  <c r="N40" i="12" s="1"/>
  <c r="S38" i="12"/>
  <c r="N40" i="14"/>
  <c r="K10" i="12" l="1"/>
  <c r="K11" i="12" s="1"/>
  <c r="R39" i="14"/>
  <c r="R31" i="14"/>
  <c r="T31" i="14" s="1"/>
  <c r="U31" i="14" s="1"/>
  <c r="U40" i="14" s="1"/>
  <c r="R30" i="14"/>
  <c r="T30" i="14" s="1"/>
  <c r="U30" i="14" s="1"/>
  <c r="R28" i="12" l="1"/>
  <c r="R36" i="12"/>
  <c r="T36" i="12" s="1"/>
  <c r="U36" i="12" s="1"/>
  <c r="R33" i="12"/>
  <c r="T33" i="12" s="1"/>
  <c r="U33" i="12" s="1"/>
  <c r="R37" i="12"/>
  <c r="T37" i="12" s="1"/>
  <c r="U37" i="12" s="1"/>
  <c r="R31" i="12"/>
  <c r="T31" i="12" s="1"/>
  <c r="R34" i="12"/>
  <c r="T34" i="12" s="1"/>
  <c r="U34" i="12" s="1"/>
  <c r="R32" i="12"/>
  <c r="T32" i="12" s="1"/>
  <c r="U32" i="12" s="1"/>
  <c r="R38" i="12"/>
  <c r="T38" i="12" s="1"/>
  <c r="U38" i="12" s="1"/>
  <c r="R39" i="12"/>
  <c r="R30" i="12"/>
  <c r="T30" i="12" s="1"/>
  <c r="U30" i="12" s="1"/>
  <c r="R35" i="12"/>
  <c r="T35" i="12" s="1"/>
  <c r="U35" i="12" s="1"/>
  <c r="T40" i="14"/>
  <c r="U31" i="12"/>
  <c r="D2" i="7"/>
  <c r="T40" i="12" l="1"/>
  <c r="U40" i="12"/>
  <c r="K12" i="14"/>
  <c r="K12" i="1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</commentList>
</comments>
</file>

<file path=xl/sharedStrings.xml><?xml version="1.0" encoding="utf-8"?>
<sst xmlns="http://schemas.openxmlformats.org/spreadsheetml/2006/main" count="84" uniqueCount="46">
  <si>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</si>
  <si>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</si>
  <si>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</si>
  <si>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</si>
  <si>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</si>
  <si>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</si>
  <si>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</si>
  <si>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</si>
  <si>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</si>
  <si>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</si>
  <si>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</si>
  <si>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</si>
  <si>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</si>
  <si>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</si>
  <si>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</si>
  <si>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</si>
  <si>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</si>
  <si>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</si>
  <si>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</si>
  <si>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</si>
  <si>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</si>
  <si>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</si>
  <si>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</si>
  <si>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</si>
  <si>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Fijo a licitar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</si>
  <si>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</si>
  <si>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</si>
  <si>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</si>
  <si>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</si>
  <si>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</si>
  <si>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</si>
  <si>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</si>
  <si>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</si>
  <si>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Dólar Linked</t>
  </si>
  <si>
    <t>Días Dev.</t>
  </si>
  <si>
    <t>V/N:</t>
  </si>
  <si>
    <t>s/c</t>
  </si>
  <si>
    <t>Badlar Proyectada</t>
  </si>
  <si>
    <t>Pesos</t>
  </si>
  <si>
    <t>Margen a licitar:</t>
  </si>
  <si>
    <t>TC de Integración:</t>
  </si>
  <si>
    <t>Trimestrales</t>
  </si>
  <si>
    <t>Tasa a licitar:</t>
  </si>
  <si>
    <t>Precio:</t>
  </si>
  <si>
    <t>ON Pyme CNV Garantizada El Norte Cordobés SRL Serie II - Clase B (Dólar Linked 24 meses)</t>
  </si>
  <si>
    <t>ON Pyme CNV Garantizada El Norte Cordobés SRL Serie II - Clase A (Badlar 24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</si>
</sst>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166" fontId="3" fillId="4" borderId="7" xfId="3" applyNumberFormat="1" applyFont="1" applyFill="1" applyBorder="1" applyAlignment="1" applyProtection="1">
      <alignment horizontal="center"/>
    </xf>
    <xf numFmtId="165" fontId="3" fillId="3" borderId="10" xfId="2" applyNumberFormat="1" applyFont="1" applyFill="1" applyBorder="1" applyAlignment="1" applyProtection="1">
      <alignment horizontal="center"/>
    </xf>
    <xf numFmtId="4" fontId="3" fillId="3" borderId="10" xfId="2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0" fontId="3" fillId="4" borderId="6" xfId="3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14</xdr:col>
      <xdr:colOff>114300</xdr:colOff>
      <xdr:row>2</xdr:row>
      <xdr:rowOff>57150</xdr:rowOff>
    </xdr:from>
    <xdr:to>
      <xdr:col>15</xdr:col>
      <xdr:colOff>590551</xdr:colOff>
      <xdr:row>6</xdr:row>
      <xdr:rowOff>38100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28" t="20997" r="39841" b="21011"/>
        <a:stretch/>
      </xdr:blipFill>
      <xdr:spPr>
        <a:xfrm>
          <a:off x="7943850" y="342900"/>
          <a:ext cx="1219201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816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180974</xdr:colOff>
      <xdr:row>2</xdr:row>
      <xdr:rowOff>38100</xdr:rowOff>
    </xdr:from>
    <xdr:to>
      <xdr:col>15</xdr:col>
      <xdr:colOff>657225</xdr:colOff>
      <xdr:row>6</xdr:row>
      <xdr:rowOff>19050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28" t="20997" r="39841" b="21011"/>
        <a:stretch/>
      </xdr:blipFill>
      <xdr:spPr>
        <a:xfrm>
          <a:off x="8020049" y="323850"/>
          <a:ext cx="1219201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zoomScaleNormal="100" zoomScaleSheetLayoutView="130" workbookViewId="0">
      <selection activeCell="O19" sqref="O19"/>
    </sheetView>
  </sheetViews>
  <sheetFormatPr baseColWidth="10" defaultColWidth="11.42578125" defaultRowHeight="11.25" x14ac:dyDescent="0.2"/>
  <cols>
    <col min="1" max="1" width="3.5703125" style="1" customWidth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86" t="s">
        <v>45</v>
      </c>
      <c r="G8" s="87"/>
      <c r="H8" s="87"/>
      <c r="I8" s="87"/>
      <c r="J8" s="87"/>
      <c r="K8" s="87"/>
      <c r="L8" s="87"/>
      <c r="M8" s="87"/>
      <c r="N8" s="87"/>
      <c r="O8" s="88"/>
      <c r="P8" s="89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8" t="s">
        <v>0</v>
      </c>
      <c r="G10" s="90">
        <v>44755</v>
      </c>
      <c r="H10" s="91"/>
      <c r="I10" s="92" t="s">
        <v>1</v>
      </c>
      <c r="J10" s="93"/>
      <c r="K10" s="94">
        <f>XIRR(N30:N38,D30:D38)</f>
        <v>0.61689425110816964</v>
      </c>
      <c r="L10" s="95"/>
      <c r="M10" s="92" t="s">
        <v>29</v>
      </c>
      <c r="N10" s="93"/>
      <c r="O10" s="94" t="s">
        <v>41</v>
      </c>
      <c r="P10" s="95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69" t="s">
        <v>3</v>
      </c>
      <c r="G11" s="102">
        <f>+F38</f>
        <v>45486</v>
      </c>
      <c r="H11" s="103"/>
      <c r="I11" s="98" t="s">
        <v>19</v>
      </c>
      <c r="J11" s="99"/>
      <c r="K11" s="96">
        <f>+NOMINAL(K10,4)</f>
        <v>0.51055928671313744</v>
      </c>
      <c r="L11" s="97"/>
      <c r="M11" s="98" t="s">
        <v>32</v>
      </c>
      <c r="N11" s="99"/>
      <c r="O11" s="104" t="s">
        <v>38</v>
      </c>
      <c r="P11" s="10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69" t="s">
        <v>30</v>
      </c>
      <c r="G12" s="96" t="s">
        <v>24</v>
      </c>
      <c r="H12" s="97"/>
      <c r="I12" s="98" t="s">
        <v>31</v>
      </c>
      <c r="J12" s="99"/>
      <c r="K12" s="100">
        <f>+(U40/T40)*12</f>
        <v>14.031383862551948</v>
      </c>
      <c r="L12" s="101"/>
      <c r="M12" s="98" t="s">
        <v>43</v>
      </c>
      <c r="N12" s="99"/>
      <c r="O12" s="96">
        <v>1</v>
      </c>
      <c r="P12" s="97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69"/>
      <c r="G13" s="114"/>
      <c r="H13" s="115"/>
      <c r="I13" s="98" t="s">
        <v>27</v>
      </c>
      <c r="J13" s="99"/>
      <c r="K13" s="100" t="s">
        <v>36</v>
      </c>
      <c r="L13" s="101"/>
      <c r="M13" s="98" t="s">
        <v>35</v>
      </c>
      <c r="N13" s="99"/>
      <c r="O13" s="116">
        <v>50000000</v>
      </c>
      <c r="P13" s="117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0" t="s">
        <v>4</v>
      </c>
      <c r="G14" s="106">
        <f>+$G$10</f>
        <v>44755</v>
      </c>
      <c r="H14" s="107"/>
      <c r="I14" s="108" t="s">
        <v>28</v>
      </c>
      <c r="J14" s="109"/>
      <c r="K14" s="110">
        <v>24</v>
      </c>
      <c r="L14" s="111"/>
      <c r="M14" s="108" t="s">
        <v>39</v>
      </c>
      <c r="N14" s="109"/>
      <c r="O14" s="112">
        <v>0</v>
      </c>
      <c r="P14" s="113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1" t="s">
        <v>11</v>
      </c>
      <c r="J16" s="72" t="s">
        <v>17</v>
      </c>
      <c r="K16" s="84" t="s">
        <v>12</v>
      </c>
      <c r="L16" s="73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4">
        <f>+F31</f>
        <v>44847</v>
      </c>
      <c r="J17" s="65">
        <f>+$O$13*K31/100</f>
        <v>0</v>
      </c>
      <c r="K17" s="64">
        <f>+$O$13*J31/100</f>
        <v>6435273.9726027409</v>
      </c>
      <c r="L17" s="21">
        <f>SUM(J17:K17)</f>
        <v>6435273.9726027409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4">
        <f t="shared" ref="I18:I23" si="0">+F32</f>
        <v>44939</v>
      </c>
      <c r="J18" s="65">
        <f t="shared" ref="J18:J24" si="1">+$O$13*K32/100</f>
        <v>0</v>
      </c>
      <c r="K18" s="64">
        <f t="shared" ref="K18:K24" si="2">+$O$13*J32/100</f>
        <v>6435273.9726027409</v>
      </c>
      <c r="L18" s="21">
        <f t="shared" ref="L18:L24" si="3">SUM(J18:K18)</f>
        <v>6435273.9726027409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4">
        <f t="shared" si="0"/>
        <v>45029</v>
      </c>
      <c r="J19" s="65">
        <f t="shared" si="1"/>
        <v>0</v>
      </c>
      <c r="K19" s="64">
        <f t="shared" si="2"/>
        <v>6295376.7123287665</v>
      </c>
      <c r="L19" s="21">
        <f t="shared" si="3"/>
        <v>6295376.7123287665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4">
        <f t="shared" si="0"/>
        <v>45120</v>
      </c>
      <c r="J20" s="65">
        <f t="shared" si="1"/>
        <v>10000000</v>
      </c>
      <c r="K20" s="64">
        <f t="shared" si="2"/>
        <v>6365325.3424657537</v>
      </c>
      <c r="L20" s="21">
        <f t="shared" si="3"/>
        <v>16365325.342465755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4">
        <f t="shared" si="0"/>
        <v>45212</v>
      </c>
      <c r="J21" s="65">
        <f t="shared" si="1"/>
        <v>0</v>
      </c>
      <c r="K21" s="64">
        <f t="shared" si="2"/>
        <v>5148219.1780821923</v>
      </c>
      <c r="L21" s="21">
        <f t="shared" si="3"/>
        <v>5148219.1780821923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74">
        <f t="shared" si="0"/>
        <v>45304</v>
      </c>
      <c r="J22" s="65">
        <f t="shared" si="1"/>
        <v>20000000</v>
      </c>
      <c r="K22" s="64">
        <f t="shared" si="2"/>
        <v>5148219.1780821923</v>
      </c>
      <c r="L22" s="21">
        <f t="shared" si="3"/>
        <v>25148219.17808219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74">
        <f t="shared" si="0"/>
        <v>45395</v>
      </c>
      <c r="J23" s="65">
        <f t="shared" si="1"/>
        <v>0</v>
      </c>
      <c r="K23" s="64">
        <f t="shared" si="2"/>
        <v>2546130.1369863017</v>
      </c>
      <c r="L23" s="21">
        <f t="shared" si="3"/>
        <v>2546130.1369863017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74">
        <f>+F38</f>
        <v>45486</v>
      </c>
      <c r="J24" s="65">
        <f t="shared" si="1"/>
        <v>20000000</v>
      </c>
      <c r="K24" s="64">
        <f t="shared" si="2"/>
        <v>2546130.1369863017</v>
      </c>
      <c r="L24" s="21">
        <f t="shared" si="3"/>
        <v>22546130.1369863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75" t="s">
        <v>13</v>
      </c>
      <c r="J25" s="76">
        <f>SUM(J17:J24)</f>
        <v>50000000</v>
      </c>
      <c r="K25" s="85">
        <f>SUM(K17:K24)</f>
        <v>40919948.630136989</v>
      </c>
      <c r="L25" s="77">
        <f>SUM(J25:K25)</f>
        <v>90919948.630136997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124" t="s">
        <v>18</v>
      </c>
      <c r="G27" s="126" t="s">
        <v>34</v>
      </c>
      <c r="H27" s="126" t="s">
        <v>14</v>
      </c>
      <c r="I27" s="126" t="s">
        <v>22</v>
      </c>
      <c r="J27" s="118" t="s">
        <v>21</v>
      </c>
      <c r="K27" s="118" t="s">
        <v>5</v>
      </c>
      <c r="L27" s="118" t="s">
        <v>15</v>
      </c>
      <c r="M27" s="120" t="s">
        <v>6</v>
      </c>
      <c r="N27" s="122" t="s">
        <v>16</v>
      </c>
      <c r="O27" s="122" t="s">
        <v>37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125"/>
      <c r="G28" s="127"/>
      <c r="H28" s="127"/>
      <c r="I28" s="127"/>
      <c r="J28" s="119"/>
      <c r="K28" s="119"/>
      <c r="L28" s="119"/>
      <c r="M28" s="121"/>
      <c r="N28" s="123"/>
      <c r="O28" s="123"/>
      <c r="Q28" s="10"/>
      <c r="R28" s="11">
        <f>+K10</f>
        <v>0.61689425110816964</v>
      </c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66"/>
      <c r="G29" s="50"/>
      <c r="H29" s="50"/>
      <c r="I29" s="20">
        <f>+I30</f>
        <v>0</v>
      </c>
      <c r="J29" s="51"/>
      <c r="K29" s="51"/>
      <c r="L29" s="52">
        <f>+L30</f>
        <v>100</v>
      </c>
      <c r="M29" s="53"/>
      <c r="N29" s="67"/>
      <c r="Q29" s="10"/>
      <c r="R29" s="11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44755</v>
      </c>
      <c r="C30" s="32"/>
      <c r="D30" s="30">
        <f>+G14</f>
        <v>44755</v>
      </c>
      <c r="E30" s="39">
        <f>+G10</f>
        <v>44755</v>
      </c>
      <c r="F30" s="59">
        <f>+E30</f>
        <v>44755</v>
      </c>
      <c r="G30" s="60"/>
      <c r="H30" s="60"/>
      <c r="I30" s="61">
        <f t="shared" ref="I30" si="4">+$O$14</f>
        <v>0</v>
      </c>
      <c r="J30" s="60"/>
      <c r="K30" s="60"/>
      <c r="L30" s="62">
        <v>100</v>
      </c>
      <c r="M30" s="62">
        <f>-O12*100</f>
        <v>-100</v>
      </c>
      <c r="N30" s="63">
        <f>+O13*-1</f>
        <v>-50000000</v>
      </c>
      <c r="O30" s="63"/>
      <c r="P30" s="1"/>
      <c r="Q30" s="16">
        <f t="shared" ref="Q30:Q39" si="5">H30/365</f>
        <v>0</v>
      </c>
      <c r="R30" s="16">
        <f t="shared" ref="R30:R39" si="6">1/(1+$K$10)^(H30/365)</f>
        <v>1</v>
      </c>
      <c r="S30" s="17">
        <f t="shared" ref="S30:S38" si="7">+M30</f>
        <v>-100</v>
      </c>
      <c r="T30" s="17">
        <f t="shared" ref="T30:T38" si="8">+S30*R30</f>
        <v>-100</v>
      </c>
      <c r="U30" s="17">
        <f t="shared" ref="U30:U38" si="9">+T30*Q30</f>
        <v>0</v>
      </c>
      <c r="V30" s="1"/>
      <c r="W30" s="1"/>
      <c r="X30" s="1"/>
      <c r="Y30" s="1"/>
      <c r="Z30" s="1"/>
      <c r="AA30" s="1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44847</v>
      </c>
      <c r="C31" s="32">
        <f t="shared" ref="C31:C38" si="10">+B31-B30</f>
        <v>92</v>
      </c>
      <c r="D31" s="30">
        <f t="shared" ref="D31:D38" si="11">+F31</f>
        <v>44847</v>
      </c>
      <c r="E31" s="39">
        <f t="shared" ref="E31:E38" si="12">+E30+C31</f>
        <v>44847</v>
      </c>
      <c r="F31" s="42">
        <f t="shared" ref="F31:F38" si="13">+E31</f>
        <v>44847</v>
      </c>
      <c r="G31" s="43">
        <f t="shared" ref="G31:G38" si="14">+E31-E30</f>
        <v>92</v>
      </c>
      <c r="H31" s="43">
        <f t="shared" ref="H31:H38" si="15">+IF(F31-$G$14&lt;0,0,F31-$G$14)</f>
        <v>92</v>
      </c>
      <c r="I31" s="41">
        <f>+$O$14+O31</f>
        <v>0.510625</v>
      </c>
      <c r="J31" s="44">
        <f t="shared" ref="J31:J38" si="16">+I31/365*G31*L30</f>
        <v>12.87054794520548</v>
      </c>
      <c r="K31" s="45">
        <v>0</v>
      </c>
      <c r="L31" s="45">
        <f t="shared" ref="L31:L37" si="17">+L30-K31</f>
        <v>100</v>
      </c>
      <c r="M31" s="45">
        <f t="shared" ref="M31:M38" si="18">+IF(F31&gt;$G$14,J31+K31,0)</f>
        <v>12.87054794520548</v>
      </c>
      <c r="N31" s="47">
        <f t="shared" ref="N31:N38" si="19">+M31*$O$13/100</f>
        <v>6435273.9726027409</v>
      </c>
      <c r="O31" s="78">
        <v>0.510625</v>
      </c>
      <c r="P31" s="1"/>
      <c r="Q31" s="16">
        <f t="shared" si="5"/>
        <v>0.25205479452054796</v>
      </c>
      <c r="R31" s="16">
        <f t="shared" si="6"/>
        <v>0.88593283470187911</v>
      </c>
      <c r="S31" s="17">
        <f t="shared" si="7"/>
        <v>12.87054794520548</v>
      </c>
      <c r="T31" s="79">
        <f t="shared" si="8"/>
        <v>11.402441025262336</v>
      </c>
      <c r="U31" s="17">
        <f t="shared" si="9"/>
        <v>2.8740399296551642</v>
      </c>
      <c r="V31" s="1"/>
      <c r="W31" s="1"/>
      <c r="X31" s="1"/>
      <c r="Y31" s="1"/>
      <c r="Z31" s="1"/>
      <c r="AA31" s="1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44939</v>
      </c>
      <c r="C32" s="32">
        <f t="shared" si="10"/>
        <v>92</v>
      </c>
      <c r="D32" s="30">
        <f t="shared" si="11"/>
        <v>44939</v>
      </c>
      <c r="E32" s="39">
        <f t="shared" si="12"/>
        <v>44939</v>
      </c>
      <c r="F32" s="42">
        <f t="shared" si="13"/>
        <v>44939</v>
      </c>
      <c r="G32" s="43">
        <f t="shared" si="14"/>
        <v>92</v>
      </c>
      <c r="H32" s="43">
        <f t="shared" si="15"/>
        <v>184</v>
      </c>
      <c r="I32" s="41">
        <f t="shared" ref="I32:I38" si="20">+$O$14+O32</f>
        <v>0.510625</v>
      </c>
      <c r="J32" s="44">
        <f t="shared" si="16"/>
        <v>12.87054794520548</v>
      </c>
      <c r="K32" s="45">
        <v>0</v>
      </c>
      <c r="L32" s="45">
        <f t="shared" si="17"/>
        <v>100</v>
      </c>
      <c r="M32" s="45">
        <f t="shared" si="18"/>
        <v>12.87054794520548</v>
      </c>
      <c r="N32" s="47">
        <f t="shared" si="19"/>
        <v>6435273.9726027409</v>
      </c>
      <c r="O32" s="78">
        <f>+$O$31</f>
        <v>0.510625</v>
      </c>
      <c r="P32" s="1"/>
      <c r="Q32" s="16">
        <f t="shared" si="5"/>
        <v>0.50410958904109593</v>
      </c>
      <c r="R32" s="16">
        <f t="shared" si="6"/>
        <v>0.78487698760290703</v>
      </c>
      <c r="S32" s="17">
        <f t="shared" si="7"/>
        <v>12.87054794520548</v>
      </c>
      <c r="T32" s="79">
        <f t="shared" si="8"/>
        <v>10.101796900031662</v>
      </c>
      <c r="U32" s="17">
        <f t="shared" si="9"/>
        <v>5.0924126838515775</v>
      </c>
      <c r="V32" s="1"/>
      <c r="W32" s="1"/>
      <c r="X32" s="1"/>
      <c r="Y32" s="1"/>
      <c r="Z32" s="1"/>
      <c r="AA32" s="1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45029</v>
      </c>
      <c r="C33" s="32">
        <f t="shared" si="10"/>
        <v>90</v>
      </c>
      <c r="D33" s="30">
        <f t="shared" si="11"/>
        <v>45029</v>
      </c>
      <c r="E33" s="39">
        <f t="shared" si="12"/>
        <v>45029</v>
      </c>
      <c r="F33" s="42">
        <f t="shared" si="13"/>
        <v>45029</v>
      </c>
      <c r="G33" s="43">
        <f t="shared" si="14"/>
        <v>90</v>
      </c>
      <c r="H33" s="43">
        <f t="shared" si="15"/>
        <v>274</v>
      </c>
      <c r="I33" s="41">
        <f t="shared" si="20"/>
        <v>0.510625</v>
      </c>
      <c r="J33" s="44">
        <f t="shared" si="16"/>
        <v>12.590753424657533</v>
      </c>
      <c r="K33" s="45">
        <v>0</v>
      </c>
      <c r="L33" s="45">
        <f t="shared" si="17"/>
        <v>100</v>
      </c>
      <c r="M33" s="45">
        <f t="shared" si="18"/>
        <v>12.590753424657533</v>
      </c>
      <c r="N33" s="47">
        <f t="shared" si="19"/>
        <v>6295376.7123287665</v>
      </c>
      <c r="O33" s="78">
        <f t="shared" ref="O33:O38" si="21">+$O$31</f>
        <v>0.510625</v>
      </c>
      <c r="P33" s="1"/>
      <c r="Q33" s="16">
        <f t="shared" si="5"/>
        <v>0.75068493150684934</v>
      </c>
      <c r="R33" s="16">
        <f t="shared" si="6"/>
        <v>0.69718150048829552</v>
      </c>
      <c r="S33" s="17">
        <f t="shared" si="7"/>
        <v>12.590753424657533</v>
      </c>
      <c r="T33" s="79">
        <f t="shared" si="8"/>
        <v>8.7780403648808853</v>
      </c>
      <c r="U33" s="17">
        <f t="shared" si="9"/>
        <v>6.5895426300749662</v>
      </c>
      <c r="V33" s="1"/>
      <c r="W33" s="1"/>
      <c r="X33" s="1"/>
      <c r="Y33" s="1"/>
      <c r="Z33" s="1"/>
      <c r="AA33" s="1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45120</v>
      </c>
      <c r="C34" s="32">
        <f t="shared" si="10"/>
        <v>91</v>
      </c>
      <c r="D34" s="30">
        <f t="shared" si="11"/>
        <v>45120</v>
      </c>
      <c r="E34" s="39">
        <f t="shared" si="12"/>
        <v>45120</v>
      </c>
      <c r="F34" s="42">
        <f t="shared" si="13"/>
        <v>45120</v>
      </c>
      <c r="G34" s="43">
        <f t="shared" si="14"/>
        <v>91</v>
      </c>
      <c r="H34" s="43">
        <f t="shared" si="15"/>
        <v>365</v>
      </c>
      <c r="I34" s="41">
        <f t="shared" si="20"/>
        <v>0.510625</v>
      </c>
      <c r="J34" s="44">
        <f t="shared" si="16"/>
        <v>12.730650684931508</v>
      </c>
      <c r="K34" s="45">
        <v>20</v>
      </c>
      <c r="L34" s="45">
        <f t="shared" si="17"/>
        <v>80</v>
      </c>
      <c r="M34" s="45">
        <f t="shared" si="18"/>
        <v>32.730650684931504</v>
      </c>
      <c r="N34" s="47">
        <f t="shared" si="19"/>
        <v>16365325.342465751</v>
      </c>
      <c r="O34" s="78">
        <f t="shared" si="21"/>
        <v>0.510625</v>
      </c>
      <c r="P34" s="1"/>
      <c r="Q34" s="16">
        <f t="shared" si="5"/>
        <v>1</v>
      </c>
      <c r="R34" s="16">
        <f t="shared" si="6"/>
        <v>0.61846963665968302</v>
      </c>
      <c r="S34" s="17">
        <f t="shared" si="7"/>
        <v>32.730650684931504</v>
      </c>
      <c r="T34" s="79">
        <f t="shared" si="8"/>
        <v>20.242913636744593</v>
      </c>
      <c r="U34" s="17">
        <f t="shared" si="9"/>
        <v>20.242913636744593</v>
      </c>
      <c r="V34" s="1"/>
      <c r="W34" s="1"/>
      <c r="X34" s="1"/>
      <c r="Y34" s="1"/>
      <c r="Z34" s="1"/>
      <c r="AA34" s="1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45212</v>
      </c>
      <c r="C35" s="32">
        <f t="shared" si="10"/>
        <v>92</v>
      </c>
      <c r="D35" s="30">
        <f t="shared" si="11"/>
        <v>45212</v>
      </c>
      <c r="E35" s="39">
        <f t="shared" si="12"/>
        <v>45212</v>
      </c>
      <c r="F35" s="42">
        <f t="shared" si="13"/>
        <v>45212</v>
      </c>
      <c r="G35" s="43">
        <f t="shared" si="14"/>
        <v>92</v>
      </c>
      <c r="H35" s="43">
        <f t="shared" si="15"/>
        <v>457</v>
      </c>
      <c r="I35" s="41">
        <f t="shared" si="20"/>
        <v>0.510625</v>
      </c>
      <c r="J35" s="44">
        <f t="shared" si="16"/>
        <v>10.296438356164384</v>
      </c>
      <c r="K35" s="45">
        <v>0</v>
      </c>
      <c r="L35" s="45">
        <f t="shared" si="17"/>
        <v>80</v>
      </c>
      <c r="M35" s="45">
        <f t="shared" si="18"/>
        <v>10.296438356164384</v>
      </c>
      <c r="N35" s="47">
        <f t="shared" si="19"/>
        <v>5148219.1780821923</v>
      </c>
      <c r="O35" s="78">
        <f t="shared" si="21"/>
        <v>0.510625</v>
      </c>
      <c r="P35" s="1"/>
      <c r="Q35" s="16">
        <f t="shared" si="5"/>
        <v>1.252054794520548</v>
      </c>
      <c r="R35" s="16">
        <f t="shared" si="6"/>
        <v>0.54792255838295423</v>
      </c>
      <c r="S35" s="17">
        <f t="shared" si="7"/>
        <v>10.296438356164384</v>
      </c>
      <c r="T35" s="79">
        <f t="shared" si="8"/>
        <v>5.6416508463419683</v>
      </c>
      <c r="U35" s="17">
        <f t="shared" si="9"/>
        <v>7.063655991173369</v>
      </c>
      <c r="V35" s="1"/>
      <c r="W35" s="1"/>
      <c r="X35" s="1"/>
      <c r="Y35" s="1"/>
      <c r="Z35" s="1"/>
      <c r="AA35" s="1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45304</v>
      </c>
      <c r="C36" s="32">
        <f t="shared" si="10"/>
        <v>92</v>
      </c>
      <c r="D36" s="30">
        <f t="shared" si="11"/>
        <v>45304</v>
      </c>
      <c r="E36" s="39">
        <f t="shared" si="12"/>
        <v>45304</v>
      </c>
      <c r="F36" s="42">
        <f t="shared" si="13"/>
        <v>45304</v>
      </c>
      <c r="G36" s="43">
        <f t="shared" si="14"/>
        <v>92</v>
      </c>
      <c r="H36" s="43">
        <f t="shared" si="15"/>
        <v>549</v>
      </c>
      <c r="I36" s="41">
        <f t="shared" si="20"/>
        <v>0.510625</v>
      </c>
      <c r="J36" s="44">
        <f t="shared" si="16"/>
        <v>10.296438356164384</v>
      </c>
      <c r="K36" s="45">
        <v>40</v>
      </c>
      <c r="L36" s="45">
        <f t="shared" si="17"/>
        <v>40</v>
      </c>
      <c r="M36" s="45">
        <f t="shared" si="18"/>
        <v>50.296438356164387</v>
      </c>
      <c r="N36" s="47">
        <f t="shared" si="19"/>
        <v>25148219.178082194</v>
      </c>
      <c r="O36" s="78">
        <f t="shared" si="21"/>
        <v>0.510625</v>
      </c>
      <c r="P36" s="1"/>
      <c r="Q36" s="16">
        <f t="shared" si="5"/>
        <v>1.5041095890410958</v>
      </c>
      <c r="R36" s="16">
        <f t="shared" si="6"/>
        <v>0.48542258534531646</v>
      </c>
      <c r="S36" s="17">
        <f t="shared" si="7"/>
        <v>50.296438356164387</v>
      </c>
      <c r="T36" s="79">
        <f t="shared" si="8"/>
        <v>24.415027140510656</v>
      </c>
      <c r="U36" s="17">
        <f t="shared" si="9"/>
        <v>36.722876438740684</v>
      </c>
      <c r="V36" s="1"/>
      <c r="W36" s="1"/>
      <c r="X36" s="1"/>
      <c r="Y36" s="1"/>
      <c r="Z36" s="1"/>
      <c r="AA36" s="1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45395</v>
      </c>
      <c r="C37" s="32">
        <f t="shared" si="10"/>
        <v>91</v>
      </c>
      <c r="D37" s="30">
        <f t="shared" si="11"/>
        <v>45395</v>
      </c>
      <c r="E37" s="39">
        <f t="shared" si="12"/>
        <v>45395</v>
      </c>
      <c r="F37" s="42">
        <f t="shared" si="13"/>
        <v>45395</v>
      </c>
      <c r="G37" s="43">
        <f t="shared" si="14"/>
        <v>91</v>
      </c>
      <c r="H37" s="43">
        <f t="shared" si="15"/>
        <v>640</v>
      </c>
      <c r="I37" s="41">
        <f t="shared" si="20"/>
        <v>0.510625</v>
      </c>
      <c r="J37" s="44">
        <f t="shared" si="16"/>
        <v>5.0922602739726033</v>
      </c>
      <c r="K37" s="45">
        <v>0</v>
      </c>
      <c r="L37" s="45">
        <f t="shared" si="17"/>
        <v>40</v>
      </c>
      <c r="M37" s="45">
        <f t="shared" si="18"/>
        <v>5.0922602739726033</v>
      </c>
      <c r="N37" s="47">
        <f t="shared" si="19"/>
        <v>2546130.1369863017</v>
      </c>
      <c r="O37" s="78">
        <f t="shared" si="21"/>
        <v>0.510625</v>
      </c>
      <c r="P37" s="1"/>
      <c r="Q37" s="16">
        <f t="shared" si="5"/>
        <v>1.7534246575342465</v>
      </c>
      <c r="R37" s="16">
        <f t="shared" si="6"/>
        <v>0.43061832503394432</v>
      </c>
      <c r="S37" s="17">
        <f t="shared" si="7"/>
        <v>5.0922602739726033</v>
      </c>
      <c r="T37" s="79">
        <f t="shared" si="8"/>
        <v>2.1928205898149766</v>
      </c>
      <c r="U37" s="17">
        <f t="shared" si="9"/>
        <v>3.8449456917303699</v>
      </c>
      <c r="V37" s="1"/>
      <c r="W37" s="1"/>
      <c r="X37" s="1"/>
      <c r="Y37" s="1"/>
      <c r="Z37" s="1"/>
      <c r="AA37" s="1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45486</v>
      </c>
      <c r="C38" s="32">
        <f t="shared" si="10"/>
        <v>91</v>
      </c>
      <c r="D38" s="30">
        <f t="shared" si="11"/>
        <v>45486</v>
      </c>
      <c r="E38" s="39">
        <f t="shared" si="12"/>
        <v>45486</v>
      </c>
      <c r="F38" s="54">
        <f t="shared" si="13"/>
        <v>45486</v>
      </c>
      <c r="G38" s="48">
        <f t="shared" si="14"/>
        <v>91</v>
      </c>
      <c r="H38" s="48">
        <f t="shared" si="15"/>
        <v>731</v>
      </c>
      <c r="I38" s="49">
        <f t="shared" si="20"/>
        <v>0.510625</v>
      </c>
      <c r="J38" s="55">
        <f t="shared" si="16"/>
        <v>5.0922602739726033</v>
      </c>
      <c r="K38" s="56">
        <v>40</v>
      </c>
      <c r="L38" s="56">
        <f>+L36-K38</f>
        <v>0</v>
      </c>
      <c r="M38" s="56">
        <f t="shared" si="18"/>
        <v>45.092260273972606</v>
      </c>
      <c r="N38" s="57">
        <f t="shared" si="19"/>
        <v>22546130.136986304</v>
      </c>
      <c r="O38" s="83">
        <f t="shared" si="21"/>
        <v>0.510625</v>
      </c>
      <c r="P38" s="1"/>
      <c r="Q38" s="16">
        <f t="shared" si="5"/>
        <v>2.0027397260273974</v>
      </c>
      <c r="R38" s="16">
        <f t="shared" si="6"/>
        <v>0.38200147140481372</v>
      </c>
      <c r="S38" s="17">
        <f t="shared" si="7"/>
        <v>45.092260273972606</v>
      </c>
      <c r="T38" s="79">
        <f t="shared" si="8"/>
        <v>17.225309773626364</v>
      </c>
      <c r="U38" s="17">
        <f t="shared" si="9"/>
        <v>34.497812176769514</v>
      </c>
      <c r="V38" s="1"/>
      <c r="W38" s="1"/>
      <c r="X38" s="1"/>
      <c r="Y38" s="1"/>
      <c r="Z38" s="1"/>
      <c r="AA38" s="1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5"/>
        <v>0</v>
      </c>
      <c r="R39" s="1">
        <f t="shared" si="6"/>
        <v>1</v>
      </c>
      <c r="S39" s="1"/>
      <c r="T39" s="1"/>
      <c r="U39" s="1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40919948.630136989</v>
      </c>
      <c r="Q40" s="19"/>
      <c r="R40" s="19"/>
      <c r="S40" s="17"/>
      <c r="T40" s="17">
        <f>SUM(T31:T38)</f>
        <v>100.00000027721343</v>
      </c>
      <c r="U40" s="17">
        <f>SUM(U31:U38)</f>
        <v>116.92819917874024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/>
      <c r="U42" s="1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25</v>
      </c>
      <c r="I51" s="58"/>
      <c r="J51" s="58" t="s">
        <v>26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6">
    <mergeCell ref="L27:L28"/>
    <mergeCell ref="M27:M28"/>
    <mergeCell ref="N27:N28"/>
    <mergeCell ref="O27:O28"/>
    <mergeCell ref="F27:F28"/>
    <mergeCell ref="G27:G28"/>
    <mergeCell ref="H27:H28"/>
    <mergeCell ref="I27:I28"/>
    <mergeCell ref="J27:J28"/>
    <mergeCell ref="K27:K28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tabSelected="1" zoomScaleNormal="100" zoomScaleSheetLayoutView="130" workbookViewId="0">
      <selection activeCell="V19" sqref="V19"/>
    </sheetView>
  </sheetViews>
  <sheetFormatPr baseColWidth="10" defaultColWidth="11.42578125" defaultRowHeight="11.25" x14ac:dyDescent="0.2"/>
  <cols>
    <col min="1" max="1" width="3.7109375" style="1" customWidth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86" t="s">
        <v>44</v>
      </c>
      <c r="G8" s="87"/>
      <c r="H8" s="87"/>
      <c r="I8" s="87"/>
      <c r="J8" s="87"/>
      <c r="K8" s="87"/>
      <c r="L8" s="87"/>
      <c r="M8" s="87"/>
      <c r="N8" s="87"/>
      <c r="O8" s="88"/>
      <c r="P8" s="89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80" t="s">
        <v>0</v>
      </c>
      <c r="G10" s="90">
        <v>44755</v>
      </c>
      <c r="H10" s="91"/>
      <c r="I10" s="92" t="s">
        <v>1</v>
      </c>
      <c r="J10" s="93"/>
      <c r="K10" s="94">
        <f>XIRR(N30:N38,D30:D38)</f>
        <v>2.9802322387695314E-9</v>
      </c>
      <c r="L10" s="95"/>
      <c r="M10" s="92" t="s">
        <v>29</v>
      </c>
      <c r="N10" s="93"/>
      <c r="O10" s="94" t="s">
        <v>41</v>
      </c>
      <c r="P10" s="95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81" t="s">
        <v>3</v>
      </c>
      <c r="G11" s="102">
        <f>+F38</f>
        <v>45486</v>
      </c>
      <c r="H11" s="103"/>
      <c r="I11" s="98" t="s">
        <v>19</v>
      </c>
      <c r="J11" s="99"/>
      <c r="K11" s="96">
        <f>+NOMINAL(K10,4)</f>
        <v>2.9802320611338473E-9</v>
      </c>
      <c r="L11" s="97"/>
      <c r="M11" s="98" t="s">
        <v>32</v>
      </c>
      <c r="N11" s="99"/>
      <c r="O11" s="104" t="s">
        <v>33</v>
      </c>
      <c r="P11" s="10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81" t="s">
        <v>30</v>
      </c>
      <c r="G12" s="96" t="s">
        <v>24</v>
      </c>
      <c r="H12" s="97"/>
      <c r="I12" s="98" t="s">
        <v>31</v>
      </c>
      <c r="J12" s="99"/>
      <c r="K12" s="100">
        <f>+(U40/T40)*12</f>
        <v>19.232876705964593</v>
      </c>
      <c r="L12" s="101"/>
      <c r="M12" s="98" t="s">
        <v>2</v>
      </c>
      <c r="N12" s="99"/>
      <c r="O12" s="96">
        <v>1</v>
      </c>
      <c r="P12" s="97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81" t="s">
        <v>40</v>
      </c>
      <c r="G13" s="114">
        <v>126.3772</v>
      </c>
      <c r="H13" s="115"/>
      <c r="I13" s="98" t="s">
        <v>27</v>
      </c>
      <c r="J13" s="99"/>
      <c r="K13" s="100" t="s">
        <v>36</v>
      </c>
      <c r="L13" s="101"/>
      <c r="M13" s="98" t="s">
        <v>35</v>
      </c>
      <c r="N13" s="99"/>
      <c r="O13" s="116">
        <f>200000000/G13</f>
        <v>1582563.9434961369</v>
      </c>
      <c r="P13" s="117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82" t="s">
        <v>4</v>
      </c>
      <c r="G14" s="106">
        <f>+$G$10</f>
        <v>44755</v>
      </c>
      <c r="H14" s="107"/>
      <c r="I14" s="108" t="s">
        <v>28</v>
      </c>
      <c r="J14" s="109"/>
      <c r="K14" s="110">
        <v>24</v>
      </c>
      <c r="L14" s="111"/>
      <c r="M14" s="108" t="s">
        <v>42</v>
      </c>
      <c r="N14" s="109"/>
      <c r="O14" s="128">
        <v>1.0999999999999999E-10</v>
      </c>
      <c r="P14" s="113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1" t="s">
        <v>11</v>
      </c>
      <c r="J16" s="72" t="s">
        <v>17</v>
      </c>
      <c r="K16" s="84" t="s">
        <v>12</v>
      </c>
      <c r="L16" s="73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4">
        <f>+F31</f>
        <v>44847</v>
      </c>
      <c r="J17" s="65">
        <f>+$O$13*K31/100</f>
        <v>0</v>
      </c>
      <c r="K17" s="64">
        <f>+$O$13*J31/100</f>
        <v>4.3878211255290153E-5</v>
      </c>
      <c r="L17" s="21">
        <f>SUM(J17:K17)</f>
        <v>4.3878211255290153E-5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4">
        <f t="shared" ref="I18:I23" si="0">+F32</f>
        <v>44939</v>
      </c>
      <c r="J18" s="65">
        <f t="shared" ref="J18:J24" si="1">+$O$13*K32/100</f>
        <v>0</v>
      </c>
      <c r="K18" s="64">
        <f t="shared" ref="K18:K24" si="2">+$O$13*J32/100</f>
        <v>4.3878211255290153E-5</v>
      </c>
      <c r="L18" s="21">
        <f t="shared" ref="L18:L24" si="3">SUM(J18:K18)</f>
        <v>4.3878211255290153E-5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4">
        <f t="shared" si="0"/>
        <v>45029</v>
      </c>
      <c r="J19" s="65">
        <f t="shared" si="1"/>
        <v>0</v>
      </c>
      <c r="K19" s="64">
        <f t="shared" si="2"/>
        <v>4.2924337097566452E-5</v>
      </c>
      <c r="L19" s="21">
        <f t="shared" si="3"/>
        <v>4.2924337097566452E-5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4">
        <f t="shared" si="0"/>
        <v>45120</v>
      </c>
      <c r="J20" s="65">
        <f t="shared" si="1"/>
        <v>316512.78869922739</v>
      </c>
      <c r="K20" s="64">
        <f t="shared" si="2"/>
        <v>4.3401274176428299E-5</v>
      </c>
      <c r="L20" s="21">
        <f t="shared" si="3"/>
        <v>316512.78874262865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4">
        <f t="shared" si="0"/>
        <v>45212</v>
      </c>
      <c r="J21" s="65">
        <f t="shared" si="1"/>
        <v>0</v>
      </c>
      <c r="K21" s="64">
        <f t="shared" si="2"/>
        <v>3.5102569004232122E-5</v>
      </c>
      <c r="L21" s="21">
        <f t="shared" si="3"/>
        <v>3.5102569004232122E-5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74">
        <f t="shared" si="0"/>
        <v>45304</v>
      </c>
      <c r="J22" s="65">
        <f t="shared" si="1"/>
        <v>633025.57739845477</v>
      </c>
      <c r="K22" s="64">
        <f t="shared" si="2"/>
        <v>3.5102569004232122E-5</v>
      </c>
      <c r="L22" s="21">
        <f t="shared" si="3"/>
        <v>633025.57743355737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74">
        <f t="shared" si="0"/>
        <v>45395</v>
      </c>
      <c r="J23" s="65">
        <f t="shared" si="1"/>
        <v>0</v>
      </c>
      <c r="K23" s="64">
        <f t="shared" si="2"/>
        <v>1.7360509670571321E-5</v>
      </c>
      <c r="L23" s="21">
        <f t="shared" si="3"/>
        <v>1.7360509670571321E-5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74">
        <f>+F38</f>
        <v>45486</v>
      </c>
      <c r="J24" s="65">
        <f t="shared" si="1"/>
        <v>633025.57739845477</v>
      </c>
      <c r="K24" s="64">
        <f t="shared" si="2"/>
        <v>1.7360509670571321E-5</v>
      </c>
      <c r="L24" s="21">
        <f t="shared" si="3"/>
        <v>633025.57741581532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75" t="s">
        <v>13</v>
      </c>
      <c r="J25" s="76">
        <f>SUM(J17:J24)</f>
        <v>1582563.9434961369</v>
      </c>
      <c r="K25" s="85">
        <f>SUM(K17:K24)</f>
        <v>2.7900819113418196E-4</v>
      </c>
      <c r="L25" s="77">
        <f>SUM(J25:K25)</f>
        <v>1582563.9437751451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124" t="s">
        <v>18</v>
      </c>
      <c r="G27" s="126" t="s">
        <v>34</v>
      </c>
      <c r="H27" s="126" t="s">
        <v>14</v>
      </c>
      <c r="I27" s="126" t="s">
        <v>22</v>
      </c>
      <c r="J27" s="118" t="s">
        <v>21</v>
      </c>
      <c r="K27" s="118" t="s">
        <v>5</v>
      </c>
      <c r="L27" s="118" t="s">
        <v>15</v>
      </c>
      <c r="M27" s="120" t="s">
        <v>6</v>
      </c>
      <c r="N27" s="122" t="s">
        <v>16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125"/>
      <c r="G28" s="127"/>
      <c r="H28" s="127"/>
      <c r="I28" s="127"/>
      <c r="J28" s="119"/>
      <c r="K28" s="119"/>
      <c r="L28" s="119"/>
      <c r="M28" s="121"/>
      <c r="N28" s="123"/>
      <c r="Q28" s="10"/>
      <c r="R28" s="11">
        <f>+K10</f>
        <v>2.9802322387695314E-9</v>
      </c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66"/>
      <c r="G29" s="50"/>
      <c r="H29" s="50"/>
      <c r="I29" s="20">
        <f>+I30</f>
        <v>1.0999999999999999E-10</v>
      </c>
      <c r="J29" s="51"/>
      <c r="K29" s="51"/>
      <c r="L29" s="52">
        <f>+L30</f>
        <v>100</v>
      </c>
      <c r="M29" s="53"/>
      <c r="N29" s="67"/>
      <c r="Q29" s="10"/>
      <c r="R29" s="11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44755</v>
      </c>
      <c r="C30" s="32"/>
      <c r="D30" s="30">
        <f>+G14</f>
        <v>44755</v>
      </c>
      <c r="E30" s="39">
        <f>+G10</f>
        <v>44755</v>
      </c>
      <c r="F30" s="59">
        <f>+E30</f>
        <v>44755</v>
      </c>
      <c r="G30" s="60"/>
      <c r="H30" s="60"/>
      <c r="I30" s="61">
        <f t="shared" ref="I30" si="4">+$O$14</f>
        <v>1.0999999999999999E-10</v>
      </c>
      <c r="J30" s="60"/>
      <c r="K30" s="60"/>
      <c r="L30" s="62">
        <v>100</v>
      </c>
      <c r="M30" s="62">
        <f>-O12*100</f>
        <v>-100</v>
      </c>
      <c r="N30" s="63">
        <f>+O13*-1</f>
        <v>-1582563.9434961369</v>
      </c>
      <c r="O30" s="1"/>
      <c r="P30" s="1"/>
      <c r="Q30" s="16">
        <f t="shared" ref="Q30:Q39" si="5">H30/365</f>
        <v>0</v>
      </c>
      <c r="R30" s="16">
        <f t="shared" ref="R30:R39" si="6">1/(1+$K$10)^(H30/365)</f>
        <v>1</v>
      </c>
      <c r="S30" s="17">
        <f t="shared" ref="S30:S31" si="7">+M30</f>
        <v>-100</v>
      </c>
      <c r="T30" s="17">
        <f t="shared" ref="T30:T31" si="8">+S30*R30</f>
        <v>-100</v>
      </c>
      <c r="U30" s="17">
        <f t="shared" ref="U30" si="9">+T30*Q30</f>
        <v>0</v>
      </c>
      <c r="V30" s="1"/>
      <c r="W30" s="1"/>
      <c r="X30" s="1"/>
      <c r="Y30" s="1"/>
      <c r="Z30" s="1"/>
      <c r="AA30" s="1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44847</v>
      </c>
      <c r="C31" s="32">
        <f t="shared" ref="C31:C38" si="10">+B31-B30</f>
        <v>92</v>
      </c>
      <c r="D31" s="30">
        <f t="shared" ref="D31:D38" si="11">+F31</f>
        <v>44847</v>
      </c>
      <c r="E31" s="39">
        <f t="shared" ref="E31:E38" si="12">+E30+C31</f>
        <v>44847</v>
      </c>
      <c r="F31" s="42">
        <f t="shared" ref="F31:F38" si="13">+E31</f>
        <v>44847</v>
      </c>
      <c r="G31" s="43">
        <f t="shared" ref="G31:G38" si="14">+E31-E30</f>
        <v>92</v>
      </c>
      <c r="H31" s="43">
        <f t="shared" ref="H31:H38" si="15">+IF(F31-$G$14&lt;0,0,F31-$G$14)</f>
        <v>92</v>
      </c>
      <c r="I31" s="41">
        <f>+$O$14</f>
        <v>1.0999999999999999E-10</v>
      </c>
      <c r="J31" s="44">
        <f t="shared" ref="J31:J38" si="16">+I31/365*G31*L30</f>
        <v>2.7726027397260274E-9</v>
      </c>
      <c r="K31" s="45">
        <v>0</v>
      </c>
      <c r="L31" s="45">
        <f t="shared" ref="L31:L37" si="17">+L30-K31</f>
        <v>100</v>
      </c>
      <c r="M31" s="45">
        <f t="shared" ref="M31:M38" si="18">+IF(F31&gt;$G$14,J31+K31,0)</f>
        <v>2.7726027397260274E-9</v>
      </c>
      <c r="N31" s="47">
        <f t="shared" ref="N31:N38" si="19">+M31*$O$13/100</f>
        <v>4.3878211255290153E-5</v>
      </c>
      <c r="O31" s="1"/>
      <c r="P31" s="1"/>
      <c r="Q31" s="16">
        <f t="shared" si="5"/>
        <v>0.25205479452054796</v>
      </c>
      <c r="R31" s="16">
        <f t="shared" si="6"/>
        <v>0.99999999924881822</v>
      </c>
      <c r="S31" s="17">
        <f t="shared" si="7"/>
        <v>2.7726027397260274E-9</v>
      </c>
      <c r="T31" s="79">
        <f t="shared" si="8"/>
        <v>2.7726027376432987E-9</v>
      </c>
      <c r="U31" s="17">
        <f>+T31*Q31</f>
        <v>6.9884781332379036E-10</v>
      </c>
      <c r="V31" s="1"/>
      <c r="W31" s="1"/>
      <c r="X31" s="1"/>
      <c r="Y31" s="1"/>
      <c r="Z31" s="1"/>
      <c r="AA31" s="1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44939</v>
      </c>
      <c r="C32" s="32">
        <f t="shared" si="10"/>
        <v>92</v>
      </c>
      <c r="D32" s="30">
        <f t="shared" si="11"/>
        <v>44939</v>
      </c>
      <c r="E32" s="39">
        <f t="shared" si="12"/>
        <v>44939</v>
      </c>
      <c r="F32" s="42">
        <f t="shared" si="13"/>
        <v>44939</v>
      </c>
      <c r="G32" s="43">
        <f t="shared" si="14"/>
        <v>92</v>
      </c>
      <c r="H32" s="43">
        <f t="shared" si="15"/>
        <v>184</v>
      </c>
      <c r="I32" s="41">
        <f t="shared" ref="I32:I37" si="20">+$O$14</f>
        <v>1.0999999999999999E-10</v>
      </c>
      <c r="J32" s="44">
        <f t="shared" si="16"/>
        <v>2.7726027397260274E-9</v>
      </c>
      <c r="K32" s="45">
        <v>0</v>
      </c>
      <c r="L32" s="45">
        <f t="shared" si="17"/>
        <v>100</v>
      </c>
      <c r="M32" s="45">
        <f t="shared" si="18"/>
        <v>2.7726027397260274E-9</v>
      </c>
      <c r="N32" s="47">
        <f t="shared" si="19"/>
        <v>4.3878211255290153E-5</v>
      </c>
      <c r="O32" s="1"/>
      <c r="P32" s="1"/>
      <c r="Q32" s="16">
        <f t="shared" ref="Q32:Q38" si="21">H32/365</f>
        <v>0.50410958904109593</v>
      </c>
      <c r="R32" s="16">
        <f t="shared" ref="R32:R38" si="22">1/(1+$K$10)^(H32/365)</f>
        <v>0.99999999849763643</v>
      </c>
      <c r="S32" s="17">
        <f t="shared" ref="S32:S38" si="23">+M32</f>
        <v>2.7726027397260274E-9</v>
      </c>
      <c r="T32" s="79">
        <f t="shared" ref="T32:T38" si="24">+S32*R32</f>
        <v>2.77260273556057E-9</v>
      </c>
      <c r="U32" s="17">
        <f t="shared" ref="U32:U38" si="25">+T32*Q32</f>
        <v>1.3976956255976573E-9</v>
      </c>
      <c r="V32" s="1"/>
      <c r="W32" s="1"/>
      <c r="X32" s="1"/>
      <c r="Y32" s="1"/>
      <c r="Z32" s="1"/>
      <c r="AA32" s="1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45029</v>
      </c>
      <c r="C33" s="32">
        <f t="shared" si="10"/>
        <v>90</v>
      </c>
      <c r="D33" s="30">
        <f t="shared" si="11"/>
        <v>45029</v>
      </c>
      <c r="E33" s="39">
        <f t="shared" si="12"/>
        <v>45029</v>
      </c>
      <c r="F33" s="42">
        <f t="shared" si="13"/>
        <v>45029</v>
      </c>
      <c r="G33" s="43">
        <f t="shared" si="14"/>
        <v>90</v>
      </c>
      <c r="H33" s="43">
        <f t="shared" si="15"/>
        <v>274</v>
      </c>
      <c r="I33" s="41">
        <f t="shared" si="20"/>
        <v>1.0999999999999999E-10</v>
      </c>
      <c r="J33" s="44">
        <f t="shared" si="16"/>
        <v>2.7123287671232875E-9</v>
      </c>
      <c r="K33" s="45">
        <v>0</v>
      </c>
      <c r="L33" s="45">
        <f t="shared" si="17"/>
        <v>100</v>
      </c>
      <c r="M33" s="45">
        <f t="shared" si="18"/>
        <v>2.7123287671232875E-9</v>
      </c>
      <c r="N33" s="47">
        <f t="shared" si="19"/>
        <v>4.2924337097566452E-5</v>
      </c>
      <c r="O33" s="1"/>
      <c r="P33" s="1"/>
      <c r="Q33" s="16">
        <f t="shared" si="21"/>
        <v>0.75068493150684934</v>
      </c>
      <c r="R33" s="16">
        <f t="shared" si="22"/>
        <v>0.99999999776278448</v>
      </c>
      <c r="S33" s="17">
        <f t="shared" si="23"/>
        <v>2.7123287671232875E-9</v>
      </c>
      <c r="T33" s="79">
        <f t="shared" si="24"/>
        <v>2.7123287610552233E-9</v>
      </c>
      <c r="U33" s="17">
        <f t="shared" si="25"/>
        <v>2.0361043302167979E-9</v>
      </c>
      <c r="V33" s="1"/>
      <c r="W33" s="1"/>
      <c r="X33" s="1"/>
      <c r="Y33" s="1"/>
      <c r="Z33" s="1"/>
      <c r="AA33" s="1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45120</v>
      </c>
      <c r="C34" s="32">
        <f t="shared" si="10"/>
        <v>91</v>
      </c>
      <c r="D34" s="30">
        <f t="shared" si="11"/>
        <v>45120</v>
      </c>
      <c r="E34" s="39">
        <f t="shared" si="12"/>
        <v>45120</v>
      </c>
      <c r="F34" s="42">
        <f t="shared" si="13"/>
        <v>45120</v>
      </c>
      <c r="G34" s="43">
        <f t="shared" si="14"/>
        <v>91</v>
      </c>
      <c r="H34" s="43">
        <f t="shared" si="15"/>
        <v>365</v>
      </c>
      <c r="I34" s="41">
        <f t="shared" si="20"/>
        <v>1.0999999999999999E-10</v>
      </c>
      <c r="J34" s="44">
        <f t="shared" si="16"/>
        <v>2.7424657534246574E-9</v>
      </c>
      <c r="K34" s="45">
        <v>20</v>
      </c>
      <c r="L34" s="45">
        <f t="shared" si="17"/>
        <v>80</v>
      </c>
      <c r="M34" s="45">
        <f t="shared" si="18"/>
        <v>20.000000002742464</v>
      </c>
      <c r="N34" s="47">
        <f t="shared" si="19"/>
        <v>316512.78874262865</v>
      </c>
      <c r="O34" s="1"/>
      <c r="P34" s="1"/>
      <c r="Q34" s="16">
        <f t="shared" si="21"/>
        <v>1</v>
      </c>
      <c r="R34" s="16">
        <f t="shared" si="22"/>
        <v>0.99999999701976772</v>
      </c>
      <c r="S34" s="17">
        <f t="shared" si="23"/>
        <v>20.000000002742464</v>
      </c>
      <c r="T34" s="79">
        <f t="shared" si="24"/>
        <v>19.999999943137819</v>
      </c>
      <c r="U34" s="17">
        <f t="shared" si="25"/>
        <v>19.999999943137819</v>
      </c>
      <c r="V34" s="1"/>
      <c r="W34" s="1"/>
      <c r="X34" s="1"/>
      <c r="Y34" s="1"/>
      <c r="Z34" s="1"/>
      <c r="AA34" s="1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45212</v>
      </c>
      <c r="C35" s="32">
        <f t="shared" si="10"/>
        <v>92</v>
      </c>
      <c r="D35" s="30">
        <f t="shared" si="11"/>
        <v>45212</v>
      </c>
      <c r="E35" s="39">
        <f t="shared" si="12"/>
        <v>45212</v>
      </c>
      <c r="F35" s="42">
        <f t="shared" si="13"/>
        <v>45212</v>
      </c>
      <c r="G35" s="43">
        <f t="shared" si="14"/>
        <v>92</v>
      </c>
      <c r="H35" s="43">
        <f t="shared" si="15"/>
        <v>457</v>
      </c>
      <c r="I35" s="41">
        <f t="shared" si="20"/>
        <v>1.0999999999999999E-10</v>
      </c>
      <c r="J35" s="44">
        <f t="shared" si="16"/>
        <v>2.2180821917808217E-9</v>
      </c>
      <c r="K35" s="45">
        <v>0</v>
      </c>
      <c r="L35" s="45">
        <f t="shared" si="17"/>
        <v>80</v>
      </c>
      <c r="M35" s="45">
        <f t="shared" si="18"/>
        <v>2.2180821917808217E-9</v>
      </c>
      <c r="N35" s="47">
        <f t="shared" si="19"/>
        <v>3.5102569004232122E-5</v>
      </c>
      <c r="O35" s="1"/>
      <c r="P35" s="1"/>
      <c r="Q35" s="16">
        <f t="shared" si="21"/>
        <v>1.252054794520548</v>
      </c>
      <c r="R35" s="16">
        <f t="shared" si="22"/>
        <v>0.99999999626858593</v>
      </c>
      <c r="S35" s="17">
        <f t="shared" si="23"/>
        <v>2.2180821917808217E-9</v>
      </c>
      <c r="T35" s="79">
        <f t="shared" si="24"/>
        <v>2.2180821835042386E-9</v>
      </c>
      <c r="U35" s="17">
        <f t="shared" si="25"/>
        <v>2.7771604324970879E-9</v>
      </c>
      <c r="V35" s="1"/>
      <c r="W35" s="1"/>
      <c r="X35" s="1"/>
      <c r="Y35" s="1"/>
      <c r="Z35" s="1"/>
      <c r="AA35" s="1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45304</v>
      </c>
      <c r="C36" s="32">
        <f t="shared" si="10"/>
        <v>92</v>
      </c>
      <c r="D36" s="30">
        <f t="shared" si="11"/>
        <v>45304</v>
      </c>
      <c r="E36" s="39">
        <f t="shared" si="12"/>
        <v>45304</v>
      </c>
      <c r="F36" s="42">
        <f t="shared" si="13"/>
        <v>45304</v>
      </c>
      <c r="G36" s="43">
        <f t="shared" si="14"/>
        <v>92</v>
      </c>
      <c r="H36" s="43">
        <f t="shared" si="15"/>
        <v>549</v>
      </c>
      <c r="I36" s="41">
        <f t="shared" si="20"/>
        <v>1.0999999999999999E-10</v>
      </c>
      <c r="J36" s="44">
        <f>+I36/365*G36*L35</f>
        <v>2.2180821917808217E-9</v>
      </c>
      <c r="K36" s="45">
        <v>40</v>
      </c>
      <c r="L36" s="45">
        <f t="shared" si="17"/>
        <v>40</v>
      </c>
      <c r="M36" s="45">
        <f t="shared" si="18"/>
        <v>40.00000000221808</v>
      </c>
      <c r="N36" s="47">
        <f t="shared" si="19"/>
        <v>633025.57743355725</v>
      </c>
      <c r="O36" s="1"/>
      <c r="P36" s="1"/>
      <c r="Q36" s="16">
        <f t="shared" si="21"/>
        <v>1.5041095890410958</v>
      </c>
      <c r="R36" s="16">
        <f t="shared" si="22"/>
        <v>0.99999999551740415</v>
      </c>
      <c r="S36" s="17">
        <f t="shared" si="23"/>
        <v>40.00000000221808</v>
      </c>
      <c r="T36" s="79">
        <f t="shared" si="24"/>
        <v>39.999999822914248</v>
      </c>
      <c r="U36" s="17">
        <f t="shared" si="25"/>
        <v>60.164383295287458</v>
      </c>
      <c r="V36" s="1"/>
      <c r="W36" s="1"/>
      <c r="X36" s="1"/>
      <c r="Y36" s="1"/>
      <c r="Z36" s="1"/>
      <c r="AA36" s="1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45395</v>
      </c>
      <c r="C37" s="32">
        <f t="shared" si="10"/>
        <v>91</v>
      </c>
      <c r="D37" s="30">
        <f t="shared" si="11"/>
        <v>45395</v>
      </c>
      <c r="E37" s="39">
        <f t="shared" si="12"/>
        <v>45395</v>
      </c>
      <c r="F37" s="42">
        <f t="shared" si="13"/>
        <v>45395</v>
      </c>
      <c r="G37" s="43">
        <f t="shared" si="14"/>
        <v>91</v>
      </c>
      <c r="H37" s="43">
        <f t="shared" si="15"/>
        <v>640</v>
      </c>
      <c r="I37" s="41">
        <f t="shared" si="20"/>
        <v>1.0999999999999999E-10</v>
      </c>
      <c r="J37" s="44">
        <f t="shared" si="16"/>
        <v>1.096986301369863E-9</v>
      </c>
      <c r="K37" s="45">
        <v>0</v>
      </c>
      <c r="L37" s="45">
        <f t="shared" si="17"/>
        <v>40</v>
      </c>
      <c r="M37" s="45">
        <f t="shared" si="18"/>
        <v>1.096986301369863E-9</v>
      </c>
      <c r="N37" s="47">
        <f t="shared" si="19"/>
        <v>1.7360509670571321E-5</v>
      </c>
      <c r="O37" s="1"/>
      <c r="P37" s="1"/>
      <c r="Q37" s="16">
        <f t="shared" si="21"/>
        <v>1.7534246575342465</v>
      </c>
      <c r="R37" s="16">
        <f t="shared" si="22"/>
        <v>0.99999999477438717</v>
      </c>
      <c r="S37" s="17">
        <f t="shared" si="23"/>
        <v>1.096986301369863E-9</v>
      </c>
      <c r="T37" s="79">
        <f t="shared" si="24"/>
        <v>1.0969862956374373E-9</v>
      </c>
      <c r="U37" s="17">
        <f t="shared" si="25"/>
        <v>1.923482819747835E-9</v>
      </c>
      <c r="V37" s="1"/>
      <c r="W37" s="1"/>
      <c r="X37" s="1"/>
      <c r="Y37" s="1"/>
      <c r="Z37" s="1"/>
      <c r="AA37" s="1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45486</v>
      </c>
      <c r="C38" s="32">
        <f t="shared" si="10"/>
        <v>91</v>
      </c>
      <c r="D38" s="30">
        <f t="shared" si="11"/>
        <v>45486</v>
      </c>
      <c r="E38" s="39">
        <f t="shared" si="12"/>
        <v>45486</v>
      </c>
      <c r="F38" s="54">
        <f t="shared" si="13"/>
        <v>45486</v>
      </c>
      <c r="G38" s="48">
        <f t="shared" si="14"/>
        <v>91</v>
      </c>
      <c r="H38" s="48">
        <f t="shared" si="15"/>
        <v>731</v>
      </c>
      <c r="I38" s="49">
        <f>+$O$14</f>
        <v>1.0999999999999999E-10</v>
      </c>
      <c r="J38" s="55">
        <f t="shared" si="16"/>
        <v>1.096986301369863E-9</v>
      </c>
      <c r="K38" s="56">
        <v>40</v>
      </c>
      <c r="L38" s="56">
        <f>+L36-K38</f>
        <v>0</v>
      </c>
      <c r="M38" s="56">
        <f t="shared" si="18"/>
        <v>40.000000001096986</v>
      </c>
      <c r="N38" s="57">
        <f t="shared" si="19"/>
        <v>633025.57741581532</v>
      </c>
      <c r="O38" s="1"/>
      <c r="P38" s="1"/>
      <c r="Q38" s="16">
        <f t="shared" si="21"/>
        <v>2.0027397260273974</v>
      </c>
      <c r="R38" s="16">
        <f t="shared" si="22"/>
        <v>0.99999999403137041</v>
      </c>
      <c r="S38" s="17">
        <f t="shared" si="23"/>
        <v>40.000000001096986</v>
      </c>
      <c r="T38" s="79">
        <f t="shared" si="24"/>
        <v>39.999999762351798</v>
      </c>
      <c r="U38" s="17">
        <f t="shared" si="25"/>
        <v>80.1095885651484</v>
      </c>
      <c r="V38" s="1"/>
      <c r="W38" s="1"/>
      <c r="X38" s="1"/>
      <c r="Y38" s="1"/>
      <c r="Z38" s="1"/>
      <c r="AA38" s="1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5"/>
        <v>0</v>
      </c>
      <c r="R39" s="1">
        <f t="shared" si="6"/>
        <v>1</v>
      </c>
      <c r="S39" s="17"/>
      <c r="T39" s="1"/>
      <c r="U39" s="1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2.7900794520974159E-4</v>
      </c>
      <c r="Q40" s="19"/>
      <c r="R40" s="19"/>
      <c r="S40" s="17"/>
      <c r="T40" s="17">
        <f>SUM(T31:T38)</f>
        <v>99.999999539976471</v>
      </c>
      <c r="U40" s="17">
        <f>SUM(U31:U38)</f>
        <v>160.27397181240696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/>
      <c r="U42" s="1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25</v>
      </c>
      <c r="I51" s="58"/>
      <c r="J51" s="58" t="s">
        <v>26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5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7:L28"/>
    <mergeCell ref="M27:M28"/>
    <mergeCell ref="N27:N28"/>
    <mergeCell ref="F27:F28"/>
    <mergeCell ref="G27:G28"/>
    <mergeCell ref="H27:H28"/>
    <mergeCell ref="I27:I28"/>
    <mergeCell ref="J27:J28"/>
    <mergeCell ref="K27:K28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CLASE I (ARS)</vt:lpstr>
      <vt:lpstr>CLASE II (DL)</vt:lpstr>
      <vt:lpstr>Feriados</vt:lpstr>
      <vt:lpstr>Hoja2</vt:lpstr>
      <vt:lpstr>'CLASE I (ARS)'!Área_de_impresión</vt:lpstr>
      <vt:lpstr>'CLASE II (DL)'!Área_de_impresión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2022-07-08T15:44:49Z</dcterms:modified>
</cp:coreProperties>
</file>