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SUARIOS\Finanzas Corporativas\COLOCACIONES\MUTUAL 17 DE ENERO\Serie 14\"/>
    </mc:Choice>
  </mc:AlternateContent>
  <bookViews>
    <workbookView xWindow="-45" yWindow="345" windowWidth="10260" windowHeight="7800" tabRatio="344"/>
  </bookViews>
  <sheets>
    <sheet name="VDF A" sheetId="1" r:id="rId1"/>
    <sheet name="VDF B" sheetId="5" r:id="rId2"/>
    <sheet name="Hoja1" sheetId="6" state="hidden" r:id="rId3"/>
  </sheets>
  <definedNames>
    <definedName name="_xlnm.Print_Area" localSheetId="0">'VDF A'!$A$1:$R$27</definedName>
    <definedName name="_xlnm.Print_Area" localSheetId="1">'VDF B'!$A$1:$S$29</definedName>
  </definedNames>
  <calcPr calcId="162913"/>
</workbook>
</file>

<file path=xl/calcChain.xml><?xml version="1.0" encoding="utf-8"?>
<calcChain xmlns="http://schemas.openxmlformats.org/spreadsheetml/2006/main">
  <c r="B52" i="5" l="1"/>
  <c r="B51" i="5"/>
  <c r="I52" i="5"/>
  <c r="I51" i="5"/>
  <c r="I50" i="5"/>
  <c r="I49" i="5"/>
  <c r="C52" i="5" l="1"/>
  <c r="C51" i="5"/>
  <c r="M52" i="5"/>
  <c r="M51" i="5"/>
  <c r="K24" i="5"/>
  <c r="K23" i="5"/>
  <c r="K22" i="5"/>
  <c r="H24" i="5"/>
  <c r="H23" i="5"/>
  <c r="H22" i="5"/>
  <c r="H21" i="5"/>
  <c r="H20" i="5"/>
  <c r="H19" i="5"/>
  <c r="H18" i="5"/>
  <c r="H17" i="5"/>
  <c r="H16" i="5"/>
  <c r="H15" i="5"/>
  <c r="H14" i="5"/>
  <c r="H13" i="5"/>
  <c r="H12" i="5"/>
  <c r="H21" i="1" l="1"/>
  <c r="F21" i="1"/>
  <c r="H20" i="1"/>
  <c r="F20" i="1" s="1"/>
  <c r="B46" i="1"/>
  <c r="C46" i="1" s="1"/>
  <c r="D12" i="5" l="1"/>
  <c r="D11" i="5"/>
  <c r="D12" i="1"/>
  <c r="D11" i="1"/>
  <c r="B36" i="1"/>
  <c r="C36" i="1" l="1"/>
  <c r="K11" i="5"/>
  <c r="K12" i="5"/>
  <c r="K13" i="5"/>
  <c r="K14" i="5"/>
  <c r="K15" i="5"/>
  <c r="K16" i="5"/>
  <c r="K17" i="5"/>
  <c r="K18" i="5"/>
  <c r="K19" i="5"/>
  <c r="K20" i="5"/>
  <c r="K21" i="5"/>
  <c r="M39" i="5"/>
  <c r="M40" i="5"/>
  <c r="M41" i="5"/>
  <c r="M42" i="5"/>
  <c r="M43" i="5"/>
  <c r="M44" i="5"/>
  <c r="M45" i="5"/>
  <c r="M46" i="5"/>
  <c r="M47" i="5"/>
  <c r="M48" i="5"/>
  <c r="M49" i="5"/>
  <c r="M50" i="5"/>
  <c r="D10" i="5"/>
  <c r="D10" i="1"/>
  <c r="D19" i="1" s="1"/>
  <c r="L32" i="1" s="1"/>
  <c r="M54" i="5"/>
  <c r="M55" i="5"/>
  <c r="M53" i="5"/>
  <c r="U50" i="1"/>
  <c r="AB50" i="1" s="1"/>
  <c r="U37" i="1"/>
  <c r="AB37" i="1" s="1"/>
  <c r="U38" i="1"/>
  <c r="AB38" i="1" s="1"/>
  <c r="U39" i="1"/>
  <c r="AB39" i="1" s="1"/>
  <c r="U40" i="1"/>
  <c r="AB40" i="1" s="1"/>
  <c r="U41" i="1"/>
  <c r="U42" i="1"/>
  <c r="U43" i="1"/>
  <c r="U44" i="1"/>
  <c r="U45" i="1"/>
  <c r="U46" i="1"/>
  <c r="U47" i="1"/>
  <c r="U48" i="1"/>
  <c r="AB48" i="1" s="1"/>
  <c r="U49" i="1"/>
  <c r="U40" i="5"/>
  <c r="AB40" i="5" s="1"/>
  <c r="U41" i="5"/>
  <c r="AB41" i="5" s="1"/>
  <c r="U43" i="5"/>
  <c r="AB43" i="5" s="1"/>
  <c r="U51" i="5"/>
  <c r="AB51" i="5" s="1"/>
  <c r="U52" i="5"/>
  <c r="H11" i="5"/>
  <c r="H1" i="5"/>
  <c r="H2" i="5"/>
  <c r="U54" i="5"/>
  <c r="AB54" i="5" s="1"/>
  <c r="U55" i="5"/>
  <c r="AB55" i="5" s="1"/>
  <c r="U56" i="5"/>
  <c r="AB56" i="5" s="1"/>
  <c r="D8" i="1"/>
  <c r="D8" i="5" s="1"/>
  <c r="D35" i="5" s="1"/>
  <c r="B50" i="5" s="1"/>
  <c r="D7" i="1"/>
  <c r="D7" i="5" s="1"/>
  <c r="H35" i="5"/>
  <c r="U53" i="5"/>
  <c r="AB53" i="5" s="1"/>
  <c r="F38" i="5"/>
  <c r="J38" i="5" s="1"/>
  <c r="Y36" i="5"/>
  <c r="L10" i="5"/>
  <c r="J50" i="1"/>
  <c r="V50" i="1" s="1"/>
  <c r="H19" i="1"/>
  <c r="F19" i="1" s="1"/>
  <c r="F35" i="1"/>
  <c r="N35" i="1" s="1"/>
  <c r="AF33" i="1" s="1"/>
  <c r="B38" i="1"/>
  <c r="C38" i="1" s="1"/>
  <c r="B39" i="1"/>
  <c r="C39" i="1" s="1"/>
  <c r="B40" i="1"/>
  <c r="C40" i="1" s="1"/>
  <c r="B41" i="1"/>
  <c r="C41" i="1" s="1"/>
  <c r="B42" i="1"/>
  <c r="C42" i="1" s="1"/>
  <c r="B43" i="1"/>
  <c r="C43" i="1" s="1"/>
  <c r="B44" i="1"/>
  <c r="C44" i="1" s="1"/>
  <c r="B45" i="1"/>
  <c r="C45" i="1" s="1"/>
  <c r="C47" i="1"/>
  <c r="B48" i="1"/>
  <c r="C48" i="1" s="1"/>
  <c r="B49" i="1"/>
  <c r="C49" i="1" s="1"/>
  <c r="B37" i="1"/>
  <c r="C37" i="1" s="1"/>
  <c r="H11" i="1"/>
  <c r="F11" i="1" s="1"/>
  <c r="H12" i="1"/>
  <c r="F12" i="1" s="1"/>
  <c r="H13" i="1"/>
  <c r="F13" i="1" s="1"/>
  <c r="H14" i="1"/>
  <c r="F14" i="1" s="1"/>
  <c r="H15" i="1"/>
  <c r="F15" i="1" s="1"/>
  <c r="H16" i="1"/>
  <c r="F16" i="1" s="1"/>
  <c r="H17" i="1"/>
  <c r="F17" i="1" s="1"/>
  <c r="H18" i="1"/>
  <c r="F18" i="1" s="1"/>
  <c r="V31" i="1"/>
  <c r="U36" i="1"/>
  <c r="L10" i="1"/>
  <c r="H32" i="1"/>
  <c r="I59" i="5"/>
  <c r="U44" i="5"/>
  <c r="AB44" i="5" s="1"/>
  <c r="J44" i="5"/>
  <c r="V44" i="5" s="1"/>
  <c r="U39" i="5"/>
  <c r="AB39" i="5" s="1"/>
  <c r="U48" i="5"/>
  <c r="AB48" i="5" s="1"/>
  <c r="J43" i="5"/>
  <c r="J45" i="5"/>
  <c r="J40" i="5"/>
  <c r="V40" i="5" s="1"/>
  <c r="J42" i="5"/>
  <c r="V42" i="5" s="1"/>
  <c r="J41" i="5"/>
  <c r="K41" i="5" s="1"/>
  <c r="I13" i="5" s="1"/>
  <c r="J47" i="5"/>
  <c r="K47" i="5" s="1"/>
  <c r="I19" i="5" s="1"/>
  <c r="J46" i="5"/>
  <c r="K42" i="5"/>
  <c r="I14" i="5" s="1"/>
  <c r="J39" i="5"/>
  <c r="V39" i="5" s="1"/>
  <c r="V36" i="5"/>
  <c r="J48" i="5"/>
  <c r="U47" i="5"/>
  <c r="AB47" i="5" s="1"/>
  <c r="U46" i="5"/>
  <c r="AB46" i="5" s="1"/>
  <c r="U50" i="5"/>
  <c r="AB50" i="5" s="1"/>
  <c r="U42" i="5"/>
  <c r="AB42" i="5" s="1"/>
  <c r="U49" i="5"/>
  <c r="AB49" i="5" s="1"/>
  <c r="U45" i="5"/>
  <c r="V49" i="1"/>
  <c r="V47" i="1"/>
  <c r="V48" i="1"/>
  <c r="AC47" i="1"/>
  <c r="AC48" i="1"/>
  <c r="AC49" i="1"/>
  <c r="K39" i="5" l="1"/>
  <c r="I11" i="5" s="1"/>
  <c r="C50" i="5"/>
  <c r="N38" i="5"/>
  <c r="AF36" i="5" s="1"/>
  <c r="F39" i="5"/>
  <c r="F40" i="5" s="1"/>
  <c r="F41" i="5" s="1"/>
  <c r="F42" i="5" s="1"/>
  <c r="F43" i="5" s="1"/>
  <c r="F44" i="5" s="1"/>
  <c r="F45" i="5" s="1"/>
  <c r="F46" i="5" s="1"/>
  <c r="F47" i="5" s="1"/>
  <c r="F48" i="5" s="1"/>
  <c r="Y33" i="1"/>
  <c r="I44" i="1"/>
  <c r="M44" i="1" s="1"/>
  <c r="K19" i="1" s="1"/>
  <c r="I40" i="1"/>
  <c r="M40" i="1" s="1"/>
  <c r="K15" i="1" s="1"/>
  <c r="I46" i="1"/>
  <c r="M46" i="1" s="1"/>
  <c r="K21" i="1" s="1"/>
  <c r="I42" i="1"/>
  <c r="M42" i="1" s="1"/>
  <c r="K17" i="1" s="1"/>
  <c r="I38" i="1"/>
  <c r="M38" i="1" s="1"/>
  <c r="K13" i="1" s="1"/>
  <c r="I45" i="1"/>
  <c r="M45" i="1" s="1"/>
  <c r="K20" i="1" s="1"/>
  <c r="I37" i="1"/>
  <c r="M37" i="1" s="1"/>
  <c r="K12" i="1" s="1"/>
  <c r="I36" i="1"/>
  <c r="I43" i="1"/>
  <c r="M43" i="1" s="1"/>
  <c r="K18" i="1" s="1"/>
  <c r="I39" i="1"/>
  <c r="M39" i="1" s="1"/>
  <c r="K14" i="1" s="1"/>
  <c r="I41" i="1"/>
  <c r="M41" i="1" s="1"/>
  <c r="K16" i="1" s="1"/>
  <c r="AB46" i="1"/>
  <c r="Z53" i="1"/>
  <c r="J35" i="1"/>
  <c r="W36" i="1"/>
  <c r="K25" i="5"/>
  <c r="V41" i="5"/>
  <c r="H10" i="1"/>
  <c r="AD40" i="1"/>
  <c r="B49" i="5"/>
  <c r="C49" i="5" s="1"/>
  <c r="AD50" i="1"/>
  <c r="W47" i="1"/>
  <c r="W50" i="1"/>
  <c r="L11" i="5"/>
  <c r="L12" i="5" s="1"/>
  <c r="L13" i="5" s="1"/>
  <c r="L14" i="5" s="1"/>
  <c r="L15" i="5" s="1"/>
  <c r="L16" i="5" s="1"/>
  <c r="L17" i="5" s="1"/>
  <c r="L18" i="5" s="1"/>
  <c r="L19" i="5" s="1"/>
  <c r="L20" i="5" s="1"/>
  <c r="L21" i="5" s="1"/>
  <c r="L22" i="5" s="1"/>
  <c r="L23" i="5" s="1"/>
  <c r="L24" i="5" s="1"/>
  <c r="V47" i="5"/>
  <c r="K40" i="5"/>
  <c r="I12" i="5" s="1"/>
  <c r="K44" i="5"/>
  <c r="I16" i="5" s="1"/>
  <c r="AB42" i="1"/>
  <c r="AD42" i="1" s="1"/>
  <c r="W42" i="1"/>
  <c r="W37" i="1"/>
  <c r="W48" i="1"/>
  <c r="Y48" i="1" s="1"/>
  <c r="AB47" i="1"/>
  <c r="AD47" i="1" s="1"/>
  <c r="AF47" i="1" s="1"/>
  <c r="AB45" i="1"/>
  <c r="AD45" i="1" s="1"/>
  <c r="W45" i="1"/>
  <c r="AB41" i="1"/>
  <c r="AD41" i="1" s="1"/>
  <c r="W41" i="1"/>
  <c r="AD38" i="1"/>
  <c r="W43" i="1"/>
  <c r="AD39" i="1"/>
  <c r="AD37" i="1"/>
  <c r="W46" i="1"/>
  <c r="K50" i="1"/>
  <c r="M50" i="1" s="1"/>
  <c r="O50" i="1" s="1"/>
  <c r="AC50" i="1" s="1"/>
  <c r="W39" i="1"/>
  <c r="AC31" i="1"/>
  <c r="AB36" i="1"/>
  <c r="AD36" i="1" s="1"/>
  <c r="AB44" i="1"/>
  <c r="AD44" i="1" s="1"/>
  <c r="W44" i="1"/>
  <c r="W40" i="1"/>
  <c r="W38" i="1"/>
  <c r="AB43" i="1"/>
  <c r="AD43" i="1" s="1"/>
  <c r="Y50" i="1"/>
  <c r="V33" i="1"/>
  <c r="H36" i="1"/>
  <c r="J36" i="1" s="1"/>
  <c r="V36" i="1" s="1"/>
  <c r="Y47" i="1"/>
  <c r="Y53" i="1"/>
  <c r="D19" i="5"/>
  <c r="L35" i="5" s="1"/>
  <c r="AD46" i="1"/>
  <c r="D38" i="5"/>
  <c r="H10" i="5"/>
  <c r="AD48" i="1"/>
  <c r="AF48" i="1" s="1"/>
  <c r="AC33" i="1"/>
  <c r="L36" i="1"/>
  <c r="F49" i="5"/>
  <c r="H50" i="5" s="1"/>
  <c r="J50" i="5" s="1"/>
  <c r="K45" i="5"/>
  <c r="I17" i="5" s="1"/>
  <c r="V45" i="5"/>
  <c r="V46" i="5"/>
  <c r="K46" i="5"/>
  <c r="I18" i="5" s="1"/>
  <c r="V43" i="5"/>
  <c r="K43" i="5"/>
  <c r="I15" i="5" s="1"/>
  <c r="AB52" i="5"/>
  <c r="AB45" i="5"/>
  <c r="K48" i="5"/>
  <c r="I20" i="5" s="1"/>
  <c r="V48" i="5"/>
  <c r="AB49" i="1"/>
  <c r="AD49" i="1" s="1"/>
  <c r="AF49" i="1" s="1"/>
  <c r="W49" i="1"/>
  <c r="Y49" i="1" s="1"/>
  <c r="N39" i="5" l="1"/>
  <c r="N40" i="5" s="1"/>
  <c r="N41" i="5" s="1"/>
  <c r="N42" i="5" s="1"/>
  <c r="Y36" i="1"/>
  <c r="F24" i="5"/>
  <c r="F23" i="5"/>
  <c r="F22" i="5"/>
  <c r="N22" i="5" s="1"/>
  <c r="L40" i="5"/>
  <c r="J12" i="5" s="1"/>
  <c r="M36" i="1"/>
  <c r="I53" i="1"/>
  <c r="F36" i="1"/>
  <c r="AF50" i="1"/>
  <c r="AG53" i="1"/>
  <c r="J49" i="5"/>
  <c r="V49" i="5" s="1"/>
  <c r="F17" i="5"/>
  <c r="N17" i="5" s="1"/>
  <c r="F15" i="5"/>
  <c r="N15" i="5" s="1"/>
  <c r="N11" i="1"/>
  <c r="K36" i="1"/>
  <c r="L42" i="5"/>
  <c r="O42" i="5" s="1"/>
  <c r="AC42" i="5" s="1"/>
  <c r="L39" i="5"/>
  <c r="AC36" i="5"/>
  <c r="L41" i="5"/>
  <c r="F19" i="5"/>
  <c r="N19" i="5" s="1"/>
  <c r="F11" i="5"/>
  <c r="N11" i="5" s="1"/>
  <c r="F13" i="5"/>
  <c r="N13" i="5" s="1"/>
  <c r="F14" i="5"/>
  <c r="N14" i="5" s="1"/>
  <c r="F12" i="5"/>
  <c r="N12" i="5" s="1"/>
  <c r="F16" i="5"/>
  <c r="N16" i="5" s="1"/>
  <c r="F20" i="5"/>
  <c r="N20" i="5" s="1"/>
  <c r="V34" i="5"/>
  <c r="F18" i="5"/>
  <c r="N18" i="5" s="1"/>
  <c r="F21" i="5"/>
  <c r="J11" i="1"/>
  <c r="F50" i="5"/>
  <c r="H51" i="5" s="1"/>
  <c r="J51" i="5" s="1"/>
  <c r="K51" i="5" s="1"/>
  <c r="N43" i="5"/>
  <c r="L43" i="5"/>
  <c r="Z59" i="5" l="1"/>
  <c r="W52" i="5"/>
  <c r="AD49" i="5"/>
  <c r="AD51" i="5"/>
  <c r="W51" i="5"/>
  <c r="AD50" i="5"/>
  <c r="AD52" i="5"/>
  <c r="O40" i="5"/>
  <c r="AC40" i="5" s="1"/>
  <c r="K11" i="1"/>
  <c r="N36" i="1"/>
  <c r="F37" i="1"/>
  <c r="H37" i="1"/>
  <c r="J37" i="1" s="1"/>
  <c r="M11" i="1"/>
  <c r="O36" i="1"/>
  <c r="AC36" i="1" s="1"/>
  <c r="AF36" i="1" s="1"/>
  <c r="M53" i="1"/>
  <c r="AD46" i="5"/>
  <c r="AD42" i="5"/>
  <c r="AF42" i="5" s="1"/>
  <c r="W50" i="5"/>
  <c r="W46" i="5"/>
  <c r="Y46" i="5" s="1"/>
  <c r="W42" i="5"/>
  <c r="Y42" i="5" s="1"/>
  <c r="AD45" i="5"/>
  <c r="W49" i="5"/>
  <c r="W41" i="5"/>
  <c r="Y41" i="5" s="1"/>
  <c r="AD41" i="5"/>
  <c r="W45" i="5"/>
  <c r="Y45" i="5" s="1"/>
  <c r="AD48" i="5"/>
  <c r="AD44" i="5"/>
  <c r="AD40" i="5"/>
  <c r="W48" i="5"/>
  <c r="Y48" i="5" s="1"/>
  <c r="W44" i="5"/>
  <c r="Y44" i="5" s="1"/>
  <c r="W40" i="5"/>
  <c r="Y40" i="5" s="1"/>
  <c r="AD47" i="5"/>
  <c r="AD43" i="5"/>
  <c r="AD39" i="5"/>
  <c r="W47" i="5"/>
  <c r="Y47" i="5" s="1"/>
  <c r="W43" i="5"/>
  <c r="Y43" i="5" s="1"/>
  <c r="W39" i="5"/>
  <c r="Y39" i="5" s="1"/>
  <c r="J14" i="5"/>
  <c r="M14" i="5" s="1"/>
  <c r="J13" i="5"/>
  <c r="M13" i="5" s="1"/>
  <c r="O41" i="5"/>
  <c r="AC41" i="5" s="1"/>
  <c r="O39" i="5"/>
  <c r="AC39" i="5" s="1"/>
  <c r="J11" i="5"/>
  <c r="M11" i="5" s="1"/>
  <c r="I11" i="1"/>
  <c r="AC34" i="5"/>
  <c r="AG59" i="5" s="1"/>
  <c r="W56" i="5"/>
  <c r="AD53" i="5"/>
  <c r="W55" i="5"/>
  <c r="AD54" i="5"/>
  <c r="AD56" i="5"/>
  <c r="AD55" i="5"/>
  <c r="W54" i="5"/>
  <c r="W53" i="5"/>
  <c r="N44" i="5"/>
  <c r="L44" i="5"/>
  <c r="N21" i="5"/>
  <c r="K49" i="5"/>
  <c r="I21" i="5" s="1"/>
  <c r="J15" i="5"/>
  <c r="M15" i="5" s="1"/>
  <c r="O43" i="5"/>
  <c r="AC43" i="5" s="1"/>
  <c r="K50" i="5"/>
  <c r="I22" i="5" s="1"/>
  <c r="V50" i="5"/>
  <c r="F51" i="5"/>
  <c r="H52" i="5" s="1"/>
  <c r="J52" i="5" s="1"/>
  <c r="K52" i="5" s="1"/>
  <c r="N23" i="5"/>
  <c r="M12" i="5"/>
  <c r="F38" i="1" l="1"/>
  <c r="H38" i="1"/>
  <c r="J38" i="1" s="1"/>
  <c r="K37" i="1"/>
  <c r="V37" i="1"/>
  <c r="Y37" i="1" s="1"/>
  <c r="N12" i="1"/>
  <c r="N37" i="1"/>
  <c r="L37" i="1"/>
  <c r="K22" i="1"/>
  <c r="L11" i="1"/>
  <c r="L12" i="1" s="1"/>
  <c r="L13" i="1" s="1"/>
  <c r="L14" i="1" s="1"/>
  <c r="L15" i="1" s="1"/>
  <c r="L16" i="1" s="1"/>
  <c r="L17" i="1" s="1"/>
  <c r="L18" i="1" s="1"/>
  <c r="L19" i="1" s="1"/>
  <c r="L20" i="1" s="1"/>
  <c r="L21" i="1" s="1"/>
  <c r="AF41" i="5"/>
  <c r="AF39" i="5"/>
  <c r="AF40" i="5"/>
  <c r="Y50" i="5"/>
  <c r="Y49" i="5"/>
  <c r="F52" i="5"/>
  <c r="AF43" i="5"/>
  <c r="J16" i="5"/>
  <c r="O44" i="5"/>
  <c r="V51" i="5"/>
  <c r="I23" i="5"/>
  <c r="L45" i="5"/>
  <c r="N45" i="5"/>
  <c r="O37" i="1" l="1"/>
  <c r="AC37" i="1" s="1"/>
  <c r="J12" i="1"/>
  <c r="N38" i="1"/>
  <c r="L38" i="1"/>
  <c r="V38" i="1"/>
  <c r="Y38" i="1" s="1"/>
  <c r="N13" i="1"/>
  <c r="K38" i="1"/>
  <c r="F39" i="1"/>
  <c r="H39" i="1"/>
  <c r="J39" i="1" s="1"/>
  <c r="H53" i="5"/>
  <c r="J53" i="5" s="1"/>
  <c r="F53" i="5"/>
  <c r="Y51" i="5"/>
  <c r="AC44" i="5"/>
  <c r="N46" i="5"/>
  <c r="L46" i="5"/>
  <c r="AF37" i="1"/>
  <c r="M16" i="5"/>
  <c r="J17" i="5"/>
  <c r="M17" i="5" s="1"/>
  <c r="O45" i="5"/>
  <c r="AC45" i="5" s="1"/>
  <c r="N24" i="5"/>
  <c r="N10" i="5" l="1"/>
  <c r="D17" i="5" s="1"/>
  <c r="J13" i="1"/>
  <c r="O38" i="1"/>
  <c r="AC38" i="1" s="1"/>
  <c r="AF38" i="1" s="1"/>
  <c r="L39" i="1"/>
  <c r="N39" i="1"/>
  <c r="I12" i="1"/>
  <c r="M12" i="1"/>
  <c r="H40" i="1"/>
  <c r="J40" i="1" s="1"/>
  <c r="F40" i="1"/>
  <c r="N14" i="1"/>
  <c r="V39" i="1"/>
  <c r="Y39" i="1" s="1"/>
  <c r="K39" i="1"/>
  <c r="I24" i="5"/>
  <c r="V52" i="5"/>
  <c r="Y52" i="5" s="1"/>
  <c r="AF45" i="5"/>
  <c r="N47" i="5"/>
  <c r="L47" i="5"/>
  <c r="AF44" i="5"/>
  <c r="H54" i="5"/>
  <c r="J54" i="5" s="1"/>
  <c r="F54" i="5"/>
  <c r="J18" i="5"/>
  <c r="M18" i="5" s="1"/>
  <c r="O46" i="5"/>
  <c r="AC46" i="5" s="1"/>
  <c r="V53" i="5"/>
  <c r="K53" i="5"/>
  <c r="D18" i="5" l="1"/>
  <c r="M10" i="5"/>
  <c r="D16" i="5"/>
  <c r="O38" i="5"/>
  <c r="L40" i="1"/>
  <c r="N40" i="1"/>
  <c r="F41" i="1"/>
  <c r="H41" i="1"/>
  <c r="J41" i="1" s="1"/>
  <c r="N15" i="1"/>
  <c r="K40" i="1"/>
  <c r="V40" i="1"/>
  <c r="Y40" i="1" s="1"/>
  <c r="O39" i="1"/>
  <c r="AC39" i="1" s="1"/>
  <c r="AF39" i="1" s="1"/>
  <c r="J14" i="1"/>
  <c r="M13" i="1"/>
  <c r="I13" i="1"/>
  <c r="O47" i="5"/>
  <c r="AC47" i="5" s="1"/>
  <c r="J19" i="5"/>
  <c r="M19" i="5" s="1"/>
  <c r="AF46" i="5"/>
  <c r="H55" i="5"/>
  <c r="J55" i="5" s="1"/>
  <c r="F55" i="5"/>
  <c r="N48" i="5"/>
  <c r="L48" i="5"/>
  <c r="Y53" i="5"/>
  <c r="K54" i="5"/>
  <c r="V54" i="5"/>
  <c r="K41" i="1" l="1"/>
  <c r="N16" i="1"/>
  <c r="V41" i="1"/>
  <c r="Y41" i="1" s="1"/>
  <c r="L41" i="1"/>
  <c r="N41" i="1"/>
  <c r="H42" i="1"/>
  <c r="J42" i="1" s="1"/>
  <c r="F42" i="1"/>
  <c r="I14" i="1"/>
  <c r="M14" i="1"/>
  <c r="O40" i="1"/>
  <c r="AC40" i="1" s="1"/>
  <c r="AF40" i="1" s="1"/>
  <c r="J15" i="1"/>
  <c r="F56" i="5"/>
  <c r="H56" i="5"/>
  <c r="AF47" i="5"/>
  <c r="J20" i="5"/>
  <c r="O48" i="5"/>
  <c r="V55" i="5"/>
  <c r="K55" i="5"/>
  <c r="Y54" i="5"/>
  <c r="N49" i="5"/>
  <c r="L50" i="5" s="1"/>
  <c r="O50" i="5" l="1"/>
  <c r="AC50" i="5" s="1"/>
  <c r="J22" i="5"/>
  <c r="M22" i="5" s="1"/>
  <c r="M15" i="1"/>
  <c r="I15" i="1"/>
  <c r="F43" i="1"/>
  <c r="H43" i="1"/>
  <c r="K42" i="1"/>
  <c r="V42" i="1"/>
  <c r="Y42" i="1" s="1"/>
  <c r="N17" i="1"/>
  <c r="J16" i="1"/>
  <c r="O41" i="1"/>
  <c r="AC41" i="1" s="1"/>
  <c r="L42" i="1"/>
  <c r="N42" i="1"/>
  <c r="AC48" i="5"/>
  <c r="N50" i="5"/>
  <c r="Y55" i="5"/>
  <c r="M20" i="5"/>
  <c r="J56" i="5"/>
  <c r="H59" i="5"/>
  <c r="AF41" i="1"/>
  <c r="O49" i="5"/>
  <c r="AC49" i="5" s="1"/>
  <c r="J21" i="5"/>
  <c r="M21" i="5" s="1"/>
  <c r="L51" i="5" l="1"/>
  <c r="O51" i="5" s="1"/>
  <c r="N51" i="5"/>
  <c r="N43" i="1"/>
  <c r="L43" i="1"/>
  <c r="H44" i="1"/>
  <c r="J44" i="1" s="1"/>
  <c r="F44" i="1"/>
  <c r="J43" i="1"/>
  <c r="J17" i="1"/>
  <c r="O42" i="1"/>
  <c r="AC42" i="1" s="1"/>
  <c r="AF42" i="1" s="1"/>
  <c r="M16" i="1"/>
  <c r="I16" i="1"/>
  <c r="AF49" i="5"/>
  <c r="AF48" i="5"/>
  <c r="V56" i="5"/>
  <c r="K56" i="5"/>
  <c r="J34" i="5"/>
  <c r="J59" i="5"/>
  <c r="L52" i="5" l="1"/>
  <c r="O52" i="5" s="1"/>
  <c r="N52" i="5"/>
  <c r="AC51" i="5"/>
  <c r="J23" i="5"/>
  <c r="M23" i="5" s="1"/>
  <c r="I17" i="1"/>
  <c r="M17" i="1"/>
  <c r="V44" i="1"/>
  <c r="N19" i="1"/>
  <c r="K44" i="1"/>
  <c r="F45" i="1"/>
  <c r="H45" i="1"/>
  <c r="J45" i="1" s="1"/>
  <c r="O43" i="1"/>
  <c r="AC43" i="1" s="1"/>
  <c r="AF43" i="1" s="1"/>
  <c r="J18" i="1"/>
  <c r="K43" i="1"/>
  <c r="V43" i="1"/>
  <c r="N18" i="1"/>
  <c r="N44" i="1"/>
  <c r="L44" i="1"/>
  <c r="AF50" i="5"/>
  <c r="AF51" i="5"/>
  <c r="Y56" i="5"/>
  <c r="V57" i="5"/>
  <c r="X56" i="5" s="1"/>
  <c r="AC52" i="5" l="1"/>
  <c r="AF52" i="5" s="1"/>
  <c r="J24" i="5"/>
  <c r="L45" i="1"/>
  <c r="N45" i="1"/>
  <c r="Y43" i="1"/>
  <c r="N20" i="1"/>
  <c r="K45" i="1"/>
  <c r="V45" i="1"/>
  <c r="Y45" i="1" s="1"/>
  <c r="Y44" i="1"/>
  <c r="M18" i="1"/>
  <c r="I18" i="1"/>
  <c r="H46" i="1"/>
  <c r="F46" i="1"/>
  <c r="O44" i="1"/>
  <c r="AC44" i="1" s="1"/>
  <c r="AF44" i="1" s="1"/>
  <c r="J19" i="1"/>
  <c r="Y57" i="5"/>
  <c r="L53" i="5"/>
  <c r="O53" i="5" s="1"/>
  <c r="AC53" i="5" s="1"/>
  <c r="N53" i="5"/>
  <c r="X54" i="5"/>
  <c r="X55" i="5"/>
  <c r="M24" i="5" l="1"/>
  <c r="D20" i="5" s="1"/>
  <c r="J25" i="5"/>
  <c r="M25" i="5" s="1"/>
  <c r="I19" i="1"/>
  <c r="M19" i="1"/>
  <c r="L46" i="1"/>
  <c r="N46" i="1"/>
  <c r="J46" i="1"/>
  <c r="H53" i="1"/>
  <c r="J20" i="1"/>
  <c r="O45" i="1"/>
  <c r="N54" i="5"/>
  <c r="L54" i="5"/>
  <c r="O54" i="5" s="1"/>
  <c r="AC54" i="5" s="1"/>
  <c r="AF53" i="5"/>
  <c r="Z53" i="5"/>
  <c r="Z54" i="5"/>
  <c r="Z55" i="5"/>
  <c r="Z56" i="5"/>
  <c r="P54" i="5" l="1"/>
  <c r="P55" i="5"/>
  <c r="D21" i="5"/>
  <c r="B32" i="5" s="1"/>
  <c r="P56" i="5"/>
  <c r="P53" i="5"/>
  <c r="AC45" i="1"/>
  <c r="N21" i="1"/>
  <c r="N10" i="1" s="1"/>
  <c r="D17" i="1" s="1"/>
  <c r="V46" i="1"/>
  <c r="K46" i="1"/>
  <c r="J31" i="1"/>
  <c r="J53" i="1"/>
  <c r="M20" i="1"/>
  <c r="I20" i="1"/>
  <c r="L53" i="1"/>
  <c r="O46" i="1"/>
  <c r="AC46" i="1" s="1"/>
  <c r="AF46" i="1" s="1"/>
  <c r="J21" i="1"/>
  <c r="AF54" i="5"/>
  <c r="N55" i="5"/>
  <c r="L55" i="5"/>
  <c r="O55" i="5" s="1"/>
  <c r="AC55" i="5" s="1"/>
  <c r="I21" i="1" l="1"/>
  <c r="J22" i="1"/>
  <c r="M21" i="1"/>
  <c r="M22" i="1" s="1"/>
  <c r="Y46" i="1"/>
  <c r="V51" i="1"/>
  <c r="D18" i="1"/>
  <c r="O35" i="1"/>
  <c r="O31" i="1" s="1"/>
  <c r="O32" i="1" s="1"/>
  <c r="M10" i="1"/>
  <c r="D20" i="1" s="1"/>
  <c r="D16" i="1"/>
  <c r="O53" i="1"/>
  <c r="AF45" i="1"/>
  <c r="AF51" i="1" s="1"/>
  <c r="AG46" i="1" s="1"/>
  <c r="AC51" i="1"/>
  <c r="AF55" i="5"/>
  <c r="L56" i="5"/>
  <c r="AG37" i="1" l="1"/>
  <c r="AG44" i="1"/>
  <c r="AG49" i="1"/>
  <c r="AG48" i="1"/>
  <c r="AG45" i="1"/>
  <c r="AG41" i="1"/>
  <c r="AG39" i="1"/>
  <c r="AG47" i="1"/>
  <c r="AG43" i="1"/>
  <c r="AG40" i="1"/>
  <c r="AG36" i="1"/>
  <c r="AG50" i="1"/>
  <c r="AE48" i="1"/>
  <c r="AE50" i="1"/>
  <c r="AE40" i="1"/>
  <c r="AE43" i="1"/>
  <c r="AE46" i="1"/>
  <c r="AE36" i="1"/>
  <c r="AE39" i="1"/>
  <c r="AE44" i="1"/>
  <c r="AE49" i="1"/>
  <c r="AE37" i="1"/>
  <c r="AE42" i="1"/>
  <c r="AE45" i="1"/>
  <c r="AE47" i="1"/>
  <c r="AE38" i="1"/>
  <c r="AE41" i="1"/>
  <c r="Y51" i="1"/>
  <c r="Z46" i="1" s="1"/>
  <c r="AG42" i="1"/>
  <c r="AG38" i="1"/>
  <c r="X45" i="1"/>
  <c r="X36" i="1"/>
  <c r="X38" i="1"/>
  <c r="X42" i="1"/>
  <c r="X37" i="1"/>
  <c r="X50" i="1"/>
  <c r="X39" i="1"/>
  <c r="X40" i="1"/>
  <c r="X47" i="1"/>
  <c r="X41" i="1"/>
  <c r="X48" i="1"/>
  <c r="X49" i="1"/>
  <c r="X43" i="1"/>
  <c r="X44" i="1"/>
  <c r="P46" i="1"/>
  <c r="P36" i="1"/>
  <c r="D21" i="1"/>
  <c r="B29" i="1" s="1"/>
  <c r="D23" i="1" s="1"/>
  <c r="P41" i="1"/>
  <c r="P38" i="1"/>
  <c r="P39" i="1"/>
  <c r="P44" i="1"/>
  <c r="P37" i="1"/>
  <c r="P40" i="1"/>
  <c r="P43" i="1"/>
  <c r="P50" i="1"/>
  <c r="P42" i="1"/>
  <c r="P45" i="1"/>
  <c r="X46" i="1"/>
  <c r="L59" i="5"/>
  <c r="M56" i="5"/>
  <c r="AG51" i="1" l="1"/>
  <c r="AG52" i="1" s="1"/>
  <c r="D22" i="1" s="1"/>
  <c r="P35" i="1"/>
  <c r="AE51" i="1"/>
  <c r="AE52" i="1" s="1"/>
  <c r="X51" i="1"/>
  <c r="X52" i="1" s="1"/>
  <c r="Z45" i="1"/>
  <c r="Z39" i="1"/>
  <c r="Z49" i="1"/>
  <c r="Z41" i="1"/>
  <c r="Z47" i="1"/>
  <c r="Z37" i="1"/>
  <c r="Z42" i="1"/>
  <c r="Z48" i="1"/>
  <c r="Z36" i="1"/>
  <c r="Z38" i="1"/>
  <c r="Z50" i="1"/>
  <c r="Z40" i="1"/>
  <c r="Z44" i="1"/>
  <c r="Z43" i="1"/>
  <c r="M59" i="5"/>
  <c r="N56" i="5"/>
  <c r="O56" i="5"/>
  <c r="Z51" i="1" l="1"/>
  <c r="Z52" i="1" s="1"/>
  <c r="AC56" i="5"/>
  <c r="O59" i="5"/>
  <c r="O34" i="5"/>
  <c r="O35" i="5" s="1"/>
  <c r="AF56" i="5" l="1"/>
  <c r="AC57" i="5"/>
  <c r="X40" i="5" l="1"/>
  <c r="X39" i="5"/>
  <c r="X41" i="5"/>
  <c r="X47" i="5"/>
  <c r="AE39" i="5"/>
  <c r="X44" i="5"/>
  <c r="X42" i="5"/>
  <c r="X48" i="5"/>
  <c r="AE41" i="5"/>
  <c r="X46" i="5"/>
  <c r="X45" i="5"/>
  <c r="X43" i="5"/>
  <c r="AE42" i="5"/>
  <c r="AE43" i="5"/>
  <c r="X50" i="5"/>
  <c r="AE40" i="5"/>
  <c r="X49" i="5"/>
  <c r="X51" i="5"/>
  <c r="AE44" i="5"/>
  <c r="AE45" i="5"/>
  <c r="AE46" i="5"/>
  <c r="X52" i="5"/>
  <c r="X53" i="5"/>
  <c r="AE47" i="5"/>
  <c r="AE48" i="5"/>
  <c r="AE49" i="5"/>
  <c r="AE51" i="5"/>
  <c r="AE50" i="5"/>
  <c r="AE52" i="5"/>
  <c r="AE53" i="5"/>
  <c r="AE54" i="5"/>
  <c r="AE55" i="5"/>
  <c r="AF57" i="5"/>
  <c r="AE56" i="5"/>
  <c r="X57" i="5" l="1"/>
  <c r="X58" i="5" s="1"/>
  <c r="Z42" i="5"/>
  <c r="Z41" i="5"/>
  <c r="Z39" i="5"/>
  <c r="Z47" i="5"/>
  <c r="Z44" i="5"/>
  <c r="Z40" i="5"/>
  <c r="AG39" i="5"/>
  <c r="Z46" i="5"/>
  <c r="Z48" i="5"/>
  <c r="Z45" i="5"/>
  <c r="Z43" i="5"/>
  <c r="AG41" i="5"/>
  <c r="AG42" i="5"/>
  <c r="Z49" i="5"/>
  <c r="AG40" i="5"/>
  <c r="Z50" i="5"/>
  <c r="AG43" i="5"/>
  <c r="Z51" i="5"/>
  <c r="AG45" i="5"/>
  <c r="AG44" i="5"/>
  <c r="Z52" i="5"/>
  <c r="AG46" i="5"/>
  <c r="AG47" i="5"/>
  <c r="AG48" i="5"/>
  <c r="AG49" i="5"/>
  <c r="AG51" i="5"/>
  <c r="AG50" i="5"/>
  <c r="AG52" i="5"/>
  <c r="AG53" i="5"/>
  <c r="AG54" i="5"/>
  <c r="AG55" i="5"/>
  <c r="AG56" i="5"/>
  <c r="AE57" i="5"/>
  <c r="AE58" i="5" s="1"/>
  <c r="AG57" i="5" l="1"/>
  <c r="AG58" i="5" s="1"/>
  <c r="D22" i="5" s="1"/>
  <c r="Z57" i="5"/>
  <c r="Z58" i="5" s="1"/>
</calcChain>
</file>

<file path=xl/comments1.xml><?xml version="1.0" encoding="utf-8"?>
<comments xmlns="http://schemas.openxmlformats.org/spreadsheetml/2006/main">
  <authors>
    <author>Mauro Jorge Zambon</author>
    <author>Estanislao Iturbe</author>
  </authors>
  <commentList>
    <comment ref="D14" authorId="0" shapeId="0">
      <text>
        <r>
          <rPr>
            <b/>
            <sz val="10"/>
            <color indexed="81"/>
            <rFont val="Calibri"/>
            <family val="2"/>
          </rPr>
          <t>Ingrese aquí</t>
        </r>
        <r>
          <rPr>
            <sz val="10"/>
            <color indexed="81"/>
            <rFont val="Calibri"/>
            <family val="2"/>
          </rPr>
          <t xml:space="preserve"> TIR a licitar</t>
        </r>
      </text>
    </comment>
    <comment ref="H32" authorId="1" shapeId="0">
      <text>
        <r>
          <rPr>
            <b/>
            <sz val="9"/>
            <color indexed="81"/>
            <rFont val="Tahoma"/>
            <family val="2"/>
          </rPr>
          <t>Tasa utilizada para efectuar el cuadro de pago de servicios teórico.</t>
        </r>
        <r>
          <rPr>
            <sz val="9"/>
            <color indexed="81"/>
            <rFont val="Tahoma"/>
            <family val="2"/>
          </rPr>
          <t xml:space="preserve">
</t>
        </r>
      </text>
    </comment>
  </commentList>
</comments>
</file>

<file path=xl/comments2.xml><?xml version="1.0" encoding="utf-8"?>
<comments xmlns="http://schemas.openxmlformats.org/spreadsheetml/2006/main">
  <authors>
    <author>Mauro Jorge Zambon</author>
    <author>Estanislao Iturbe</author>
  </authors>
  <commentList>
    <comment ref="D14" authorId="0" shapeId="0">
      <text>
        <r>
          <rPr>
            <sz val="10"/>
            <color indexed="81"/>
            <rFont val="Calibri"/>
            <family val="2"/>
          </rPr>
          <t>Sr. Inversor,</t>
        </r>
        <r>
          <rPr>
            <b/>
            <sz val="10"/>
            <color indexed="81"/>
            <rFont val="Calibri"/>
            <family val="2"/>
          </rPr>
          <t xml:space="preserve"> ingrese aquí</t>
        </r>
        <r>
          <rPr>
            <sz val="10"/>
            <color indexed="81"/>
            <rFont val="Calibri"/>
            <family val="2"/>
          </rPr>
          <t xml:space="preserve"> TIR a licitar.</t>
        </r>
      </text>
    </comment>
    <comment ref="H35" authorId="1" shapeId="0">
      <text>
        <r>
          <rPr>
            <b/>
            <sz val="9"/>
            <color indexed="81"/>
            <rFont val="Tahoma"/>
            <family val="2"/>
          </rPr>
          <t>Tasa utilizada para efectuar el cuadro de pago de servicios teórico.</t>
        </r>
        <r>
          <rPr>
            <sz val="9"/>
            <color indexed="81"/>
            <rFont val="Tahoma"/>
            <family val="2"/>
          </rPr>
          <t xml:space="preserve">
</t>
        </r>
      </text>
    </comment>
  </commentList>
</comments>
</file>

<file path=xl/sharedStrings.xml><?xml version="1.0" encoding="utf-8"?>
<sst xmlns="http://schemas.openxmlformats.org/spreadsheetml/2006/main" count="165" uniqueCount="68">
  <si>
    <t>Fecha</t>
  </si>
  <si>
    <t>Saldo Inicio Senior</t>
  </si>
  <si>
    <t>Flujo Senior</t>
  </si>
  <si>
    <t>Flujos proyectados a la tasa piso de:</t>
  </si>
  <si>
    <t>Cupon Activado</t>
  </si>
  <si>
    <t>Totales</t>
  </si>
  <si>
    <t>Interés</t>
  </si>
  <si>
    <t>Capital</t>
  </si>
  <si>
    <t>Capital Modif.</t>
  </si>
  <si>
    <t>Flujo Total</t>
  </si>
  <si>
    <t>TIR</t>
  </si>
  <si>
    <t>TNA</t>
  </si>
  <si>
    <t>Dif de tasas</t>
  </si>
  <si>
    <t>BASE</t>
  </si>
  <si>
    <t>Deveng</t>
  </si>
  <si>
    <t>Maturity</t>
  </si>
  <si>
    <t>Bono A</t>
  </si>
  <si>
    <t>V$N</t>
  </si>
  <si>
    <t>Total</t>
  </si>
  <si>
    <t>Vida Promedio</t>
  </si>
  <si>
    <t>Duration Años</t>
  </si>
  <si>
    <t>Duration Meses</t>
  </si>
  <si>
    <t>Liquidación</t>
  </si>
  <si>
    <t>VDF A</t>
  </si>
  <si>
    <t>Min</t>
  </si>
  <si>
    <t>Max</t>
  </si>
  <si>
    <t>Integracion</t>
  </si>
  <si>
    <t>VDF "A"</t>
  </si>
  <si>
    <t>VN:</t>
  </si>
  <si>
    <t>Minimo:</t>
  </si>
  <si>
    <t>Maximo:</t>
  </si>
  <si>
    <t>Margen s/ Prospecto (bp):</t>
  </si>
  <si>
    <t>Tasa a Licitar:</t>
  </si>
  <si>
    <t>Tasa de ref. (TNA):</t>
  </si>
  <si>
    <t>Licita TIR</t>
  </si>
  <si>
    <t>Fechas de Pago</t>
  </si>
  <si>
    <t>VN a Licitar</t>
  </si>
  <si>
    <t>V$N a Integrar:</t>
  </si>
  <si>
    <t>TIR real:</t>
  </si>
  <si>
    <t>TNA real:</t>
  </si>
  <si>
    <t>Fecha de Integracion:</t>
  </si>
  <si>
    <t>Pesos a Integrar ($):</t>
  </si>
  <si>
    <t>VAN ($):</t>
  </si>
  <si>
    <t>Duration Real (meses):</t>
  </si>
  <si>
    <t>Badlar Proyectada:</t>
  </si>
  <si>
    <t>FLUJO TOTAL</t>
  </si>
  <si>
    <t>INTERÉS</t>
  </si>
  <si>
    <t>CAPITAL</t>
  </si>
  <si>
    <t>FLUJO SENIOR</t>
  </si>
  <si>
    <t>SALDO SENIOR</t>
  </si>
  <si>
    <t>(según BADLAR proyectada)</t>
  </si>
  <si>
    <t>La información contenida en el siguiente cuadro ha sido proporcionada por el Fiduciante y ha sido puesta a disposición de los eventuales inversores solamente para su uso en relación con el análisis de la compra de los VDF. Los potenciales inversores de los VDF deberán analizar por su propia cuenta cuidadosamente toda esta información y, asimismo, analizar detenidamente y tomar en cuenta toda la información contenida en el Suplemento de Prospecto, en particular, las Consideraciones de Riesgo para la Inversión.  Todo eventual inversor que contemple la adquisición de VDF deberá realizar, antes de decidir dicha adquisición, su propia investigación y análisis sobre los términos y condiciones de los VDF, incluyendo los beneficios y riesgos inherentes a dicha decisión de inversión y las consecuencias impositivas y legales de dicha adquisición. Teniendo en cuenta sus propias circunstancias y condición financiera, los potenciales inversores deben tomar todos los recaudos que razonablemente estimen necesarios antes de realizar su inversión.</t>
  </si>
  <si>
    <t>Precio (V$N %):</t>
  </si>
  <si>
    <t>CALCULO DURATION A TASA PISO</t>
  </si>
  <si>
    <t>CALCULO DURATION A CUPON ACTIVADO</t>
  </si>
  <si>
    <t>VDF "B"</t>
  </si>
  <si>
    <t>% amor</t>
  </si>
  <si>
    <t>Saldo</t>
  </si>
  <si>
    <t>MARGEN</t>
  </si>
  <si>
    <t>Fecha de devengamiento:</t>
  </si>
  <si>
    <t>Calificación (S&amp;P):</t>
  </si>
  <si>
    <t>AA</t>
  </si>
  <si>
    <t>Spread TNA/Badlar:</t>
  </si>
  <si>
    <t>VDF B</t>
  </si>
  <si>
    <t>Amortización</t>
  </si>
  <si>
    <t>Fideicomiso Financiero Mutual 17 de Enero</t>
  </si>
  <si>
    <t>A-</t>
  </si>
  <si>
    <t>VN: $ 204.497.470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</si>
</sst>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_ &quot;$&quot;\ * #,##0.00_ ;_ &quot;$&quot;\ * \-#,##0.00_ ;_ &quot;$&quot;\ * &quot;-&quot;??_ ;_ @_ "/>
    <numFmt numFmtId="165" formatCode="_ * #,##0.00_ ;_ * \-#,##0.00_ ;_ * &quot;-&quot;??_ ;_ @_ "/>
    <numFmt numFmtId="166" formatCode="0.0000%"/>
    <numFmt numFmtId="167" formatCode="0.0%"/>
    <numFmt numFmtId="168" formatCode="#,##0;[Red]\(#,##0\)"/>
    <numFmt numFmtId="169" formatCode="_ * #,##0_ ;_ * \-#,##0_ ;_ * &quot;-&quot;??_ ;_ @_ "/>
    <numFmt numFmtId="170" formatCode="_-* #,##0_-;\-* #,##0_-;_-* &quot;-&quot;??_-;_-@_-"/>
    <numFmt numFmtId="171" formatCode="0.000000"/>
    <numFmt numFmtId="172" formatCode="_-* #,##0.0000_-;\-* #,##0.0000_-;_-* &quot;-&quot;??_-;_-@_-"/>
    <numFmt numFmtId="173" formatCode="#,##0.000"/>
    <numFmt numFmtId="174" formatCode="dd\-mmm\-yy;@"/>
    <numFmt numFmtId="175" formatCode="#,##0.0000"/>
    <numFmt numFmtId="176" formatCode="#,##0.00;[Red]\(#,##0.00\)"/>
    <numFmt numFmtId="177" formatCode="#,##0.000000"/>
  </numFmts>
  <fonts count="40" x14ac:knownFonts="1">
    <font>
      <sz val="11"/>
      <color theme="1"/>
      <name val="Calibri"/>
      <family val="2"/>
      <scheme val="minor"/>
    </font>
    <font>
      <b/>
      <sz val="10"/>
      <name val="Arial Narrow"/>
      <family val="2"/>
    </font>
    <font>
      <sz val="10"/>
      <name val="Arial"/>
      <family val="2"/>
    </font>
    <font>
      <b/>
      <sz val="10"/>
      <name val="Arial"/>
      <family val="2"/>
    </font>
    <font>
      <b/>
      <sz val="12"/>
      <name val="Arial Narrow"/>
      <family val="2"/>
    </font>
    <font>
      <b/>
      <sz val="11"/>
      <name val="Arial Narrow"/>
      <family val="2"/>
    </font>
    <font>
      <sz val="10"/>
      <name val="Arial Narrow"/>
      <family val="2"/>
    </font>
    <font>
      <b/>
      <sz val="11"/>
      <name val="Arial"/>
      <family val="2"/>
    </font>
    <font>
      <sz val="9"/>
      <color indexed="81"/>
      <name val="Tahoma"/>
      <family val="2"/>
    </font>
    <font>
      <b/>
      <sz val="9"/>
      <color indexed="81"/>
      <name val="Tahoma"/>
      <family val="2"/>
    </font>
    <font>
      <sz val="10"/>
      <color indexed="8"/>
      <name val="Arial"/>
      <family val="2"/>
    </font>
    <font>
      <sz val="12"/>
      <name val="Arial Narrow"/>
      <family val="2"/>
    </font>
    <font>
      <sz val="10"/>
      <color indexed="81"/>
      <name val="Calibri"/>
      <family val="2"/>
    </font>
    <font>
      <b/>
      <sz val="10"/>
      <color indexed="81"/>
      <name val="Calibri"/>
      <family val="2"/>
    </font>
    <font>
      <sz val="11"/>
      <color theme="1"/>
      <name val="Calibri"/>
      <family val="2"/>
      <scheme val="minor"/>
    </font>
    <font>
      <sz val="11"/>
      <color theme="0"/>
      <name val="Calibri"/>
      <family val="2"/>
      <scheme val="minor"/>
    </font>
    <font>
      <sz val="11"/>
      <color rgb="FFFF0000"/>
      <name val="Calibri"/>
      <family val="2"/>
      <scheme val="minor"/>
    </font>
    <font>
      <b/>
      <sz val="11"/>
      <name val="Calibri"/>
      <family val="2"/>
      <scheme val="minor"/>
    </font>
    <font>
      <sz val="11"/>
      <name val="Calibri"/>
      <family val="2"/>
      <scheme val="minor"/>
    </font>
    <font>
      <sz val="10"/>
      <color theme="0"/>
      <name val="Arial Narrow"/>
      <family val="2"/>
    </font>
    <font>
      <sz val="12"/>
      <color theme="3"/>
      <name val="Times New Roman"/>
      <family val="1"/>
    </font>
    <font>
      <sz val="12"/>
      <name val="Calibri"/>
      <family val="2"/>
      <scheme val="minor"/>
    </font>
    <font>
      <b/>
      <sz val="12"/>
      <color theme="3"/>
      <name val="Times New Roman"/>
      <family val="1"/>
    </font>
    <font>
      <sz val="12"/>
      <color theme="0"/>
      <name val="Arial Narrow"/>
      <family val="2"/>
    </font>
    <font>
      <b/>
      <sz val="12"/>
      <name val="Calibri"/>
      <family val="2"/>
      <scheme val="minor"/>
    </font>
    <font>
      <sz val="12"/>
      <color rgb="FFFF0000"/>
      <name val="Calibri"/>
      <family val="2"/>
      <scheme val="minor"/>
    </font>
    <font>
      <b/>
      <sz val="12"/>
      <color theme="1"/>
      <name val="Calibri"/>
      <family val="2"/>
      <scheme val="minor"/>
    </font>
    <font>
      <sz val="8"/>
      <name val="Calibri"/>
      <family val="2"/>
      <scheme val="minor"/>
    </font>
    <font>
      <sz val="12"/>
      <color theme="1"/>
      <name val="Calibri"/>
      <family val="2"/>
      <scheme val="minor"/>
    </font>
    <font>
      <sz val="10"/>
      <color indexed="8"/>
      <name val="Calibri"/>
      <family val="2"/>
      <scheme val="minor"/>
    </font>
    <font>
      <b/>
      <sz val="14"/>
      <color theme="3"/>
      <name val="Calibri"/>
      <family val="2"/>
      <scheme val="minor"/>
    </font>
    <font>
      <sz val="10"/>
      <name val="Calibri"/>
      <family val="2"/>
      <scheme val="minor"/>
    </font>
    <font>
      <b/>
      <sz val="12"/>
      <color theme="3"/>
      <name val="Calibri"/>
      <family val="2"/>
      <scheme val="minor"/>
    </font>
    <font>
      <b/>
      <sz val="10"/>
      <color rgb="FFFF0000"/>
      <name val="Arial Narrow"/>
      <family val="2"/>
    </font>
    <font>
      <b/>
      <sz val="10"/>
      <name val="Calibri"/>
      <family val="2"/>
      <scheme val="minor"/>
    </font>
    <font>
      <b/>
      <u/>
      <sz val="10"/>
      <name val="Calibri"/>
      <family val="2"/>
      <scheme val="minor"/>
    </font>
    <font>
      <b/>
      <sz val="16"/>
      <color theme="3"/>
      <name val="Calibri"/>
      <family val="2"/>
      <scheme val="minor"/>
    </font>
    <font>
      <b/>
      <sz val="16"/>
      <color theme="1"/>
      <name val="Calibri"/>
      <family val="2"/>
      <scheme val="minor"/>
    </font>
    <font>
      <b/>
      <sz val="21"/>
      <color theme="3"/>
      <name val="Calibri"/>
      <family val="2"/>
      <scheme val="minor"/>
    </font>
    <font>
      <sz val="9"/>
      <color rgb="FF262626"/>
      <name val="Calibri"/>
      <family val="2"/>
      <scheme val="minor"/>
    </font>
  </fonts>
  <fills count="1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indexed="65"/>
        <bgColor indexed="8"/>
      </patternFill>
    </fill>
  </fills>
  <borders count="45">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theme="3"/>
      </left>
      <right/>
      <top/>
      <bottom/>
      <diagonal/>
    </border>
    <border>
      <left style="medium">
        <color theme="3"/>
      </left>
      <right/>
      <top/>
      <bottom style="thin">
        <color indexed="64"/>
      </bottom>
      <diagonal/>
    </border>
  </borders>
  <cellStyleXfs count="5">
    <xf numFmtId="0" fontId="0" fillId="0" borderId="0"/>
    <xf numFmtId="165" fontId="14" fillId="0" borderId="0" applyFont="0" applyFill="0" applyBorder="0" applyAlignment="0" applyProtection="0"/>
    <xf numFmtId="164" fontId="14" fillId="0" borderId="0" applyFont="0" applyFill="0" applyBorder="0" applyAlignment="0" applyProtection="0"/>
    <xf numFmtId="0" fontId="2" fillId="0" borderId="0"/>
    <xf numFmtId="9" fontId="14" fillId="0" borderId="0" applyFont="0" applyFill="0" applyBorder="0" applyAlignment="0" applyProtection="0"/>
  </cellStyleXfs>
  <cellXfs count="318">
    <xf numFmtId="0" fontId="0" fillId="0" borderId="0" xfId="0"/>
    <xf numFmtId="3" fontId="18" fillId="6" borderId="0" xfId="0" applyNumberFormat="1" applyFont="1" applyFill="1" applyBorder="1" applyAlignment="1" applyProtection="1">
      <alignment horizontal="center"/>
    </xf>
    <xf numFmtId="3" fontId="6" fillId="6" borderId="0" xfId="0" applyNumberFormat="1" applyFont="1" applyFill="1" applyBorder="1" applyAlignment="1" applyProtection="1">
      <alignment horizontal="center"/>
    </xf>
    <xf numFmtId="166" fontId="2" fillId="7" borderId="13" xfId="4" applyNumberFormat="1" applyFont="1" applyFill="1" applyBorder="1" applyAlignment="1" applyProtection="1">
      <alignment horizontal="center"/>
    </xf>
    <xf numFmtId="3" fontId="19" fillId="8" borderId="14" xfId="0" applyNumberFormat="1" applyFont="1" applyFill="1" applyBorder="1" applyAlignment="1" applyProtection="1">
      <alignment horizontal="center"/>
    </xf>
    <xf numFmtId="10" fontId="3" fillId="0" borderId="17" xfId="4" applyNumberFormat="1" applyFont="1" applyFill="1" applyBorder="1" applyAlignment="1" applyProtection="1">
      <alignment horizontal="center"/>
    </xf>
    <xf numFmtId="3" fontId="18" fillId="6" borderId="3" xfId="0" applyNumberFormat="1" applyFont="1" applyFill="1" applyBorder="1" applyAlignment="1" applyProtection="1">
      <alignment horizontal="center"/>
    </xf>
    <xf numFmtId="174" fontId="29" fillId="10" borderId="0" xfId="0" applyNumberFormat="1" applyFont="1" applyFill="1" applyBorder="1" applyAlignment="1" applyProtection="1">
      <alignment horizontal="center" vertical="center"/>
    </xf>
    <xf numFmtId="174" fontId="29" fillId="10" borderId="19" xfId="0" applyNumberFormat="1" applyFont="1" applyFill="1" applyBorder="1" applyAlignment="1" applyProtection="1">
      <alignment horizontal="center" vertical="center"/>
    </xf>
    <xf numFmtId="3" fontId="19" fillId="8" borderId="22" xfId="0" applyNumberFormat="1" applyFont="1" applyFill="1" applyBorder="1" applyAlignment="1" applyProtection="1">
      <alignment horizontal="center"/>
    </xf>
    <xf numFmtId="10" fontId="29" fillId="0" borderId="13" xfId="4" applyNumberFormat="1" applyFont="1" applyBorder="1" applyAlignment="1" applyProtection="1">
      <alignment horizontal="center" vertical="center"/>
    </xf>
    <xf numFmtId="3" fontId="19" fillId="8" borderId="17" xfId="0" applyNumberFormat="1" applyFont="1" applyFill="1" applyBorder="1" applyAlignment="1" applyProtection="1">
      <alignment horizontal="center"/>
    </xf>
    <xf numFmtId="3" fontId="19" fillId="8" borderId="28" xfId="0" applyNumberFormat="1" applyFont="1" applyFill="1" applyBorder="1" applyAlignment="1" applyProtection="1">
      <alignment horizontal="center"/>
    </xf>
    <xf numFmtId="10" fontId="29" fillId="5" borderId="0" xfId="4" applyNumberFormat="1" applyFont="1" applyFill="1" applyBorder="1" applyAlignment="1" applyProtection="1">
      <alignment horizontal="center" vertical="center"/>
    </xf>
    <xf numFmtId="10" fontId="29" fillId="5" borderId="19" xfId="4" applyNumberFormat="1" applyFont="1" applyFill="1" applyBorder="1" applyAlignment="1" applyProtection="1">
      <alignment horizontal="center" vertical="center"/>
    </xf>
    <xf numFmtId="3" fontId="23" fillId="8" borderId="33" xfId="0" applyNumberFormat="1" applyFont="1" applyFill="1" applyBorder="1" applyAlignment="1" applyProtection="1">
      <alignment horizontal="center"/>
    </xf>
    <xf numFmtId="3" fontId="23" fillId="8" borderId="34" xfId="0" applyNumberFormat="1" applyFont="1" applyFill="1" applyBorder="1" applyAlignment="1" applyProtection="1">
      <alignment horizontal="center"/>
    </xf>
    <xf numFmtId="0" fontId="18" fillId="5" borderId="0" xfId="0" applyFont="1" applyFill="1" applyBorder="1" applyProtection="1"/>
    <xf numFmtId="0" fontId="15" fillId="5" borderId="0" xfId="0" applyFont="1" applyFill="1" applyBorder="1" applyProtection="1"/>
    <xf numFmtId="3" fontId="15" fillId="5" borderId="0" xfId="0" applyNumberFormat="1" applyFont="1" applyFill="1" applyBorder="1" applyAlignment="1" applyProtection="1">
      <alignment horizontal="center"/>
    </xf>
    <xf numFmtId="3" fontId="18" fillId="6" borderId="0" xfId="0" applyNumberFormat="1" applyFont="1" applyFill="1" applyAlignment="1" applyProtection="1">
      <alignment horizontal="center"/>
    </xf>
    <xf numFmtId="0" fontId="18" fillId="6" borderId="0" xfId="0" applyFont="1" applyFill="1" applyBorder="1" applyProtection="1"/>
    <xf numFmtId="0" fontId="18" fillId="6" borderId="0" xfId="0" applyFont="1" applyFill="1" applyProtection="1"/>
    <xf numFmtId="0" fontId="0" fillId="0" borderId="0" xfId="0" applyProtection="1"/>
    <xf numFmtId="164" fontId="18" fillId="5" borderId="0" xfId="2" applyFont="1" applyFill="1" applyBorder="1" applyAlignment="1" applyProtection="1"/>
    <xf numFmtId="167" fontId="18" fillId="5" borderId="0" xfId="4" applyNumberFormat="1" applyFont="1" applyFill="1" applyBorder="1" applyProtection="1"/>
    <xf numFmtId="0" fontId="30" fillId="5" borderId="0" xfId="0" applyFont="1" applyFill="1" applyBorder="1" applyAlignment="1" applyProtection="1">
      <alignment horizontal="center"/>
    </xf>
    <xf numFmtId="0" fontId="20" fillId="5" borderId="0" xfId="0" applyFont="1" applyFill="1" applyBorder="1" applyAlignment="1" applyProtection="1">
      <alignment horizontal="center"/>
    </xf>
    <xf numFmtId="0" fontId="20" fillId="5" borderId="0" xfId="0" applyFont="1" applyFill="1" applyBorder="1" applyAlignment="1" applyProtection="1">
      <alignment horizontal="right"/>
    </xf>
    <xf numFmtId="0" fontId="21" fillId="5" borderId="0" xfId="0" applyFont="1" applyFill="1" applyBorder="1" applyProtection="1"/>
    <xf numFmtId="10" fontId="22" fillId="5" borderId="0" xfId="0" applyNumberFormat="1" applyFont="1" applyFill="1" applyBorder="1" applyAlignment="1" applyProtection="1"/>
    <xf numFmtId="10" fontId="20" fillId="5" borderId="0" xfId="4" applyNumberFormat="1" applyFont="1" applyFill="1" applyBorder="1" applyAlignment="1" applyProtection="1">
      <alignment horizontal="right"/>
    </xf>
    <xf numFmtId="169" fontId="21" fillId="5" borderId="9" xfId="1" applyNumberFormat="1" applyFont="1" applyFill="1" applyBorder="1" applyAlignment="1" applyProtection="1">
      <alignment horizontal="center"/>
    </xf>
    <xf numFmtId="14" fontId="23" fillId="8" borderId="43" xfId="0" applyNumberFormat="1" applyFont="1" applyFill="1" applyBorder="1" applyAlignment="1" applyProtection="1">
      <alignment horizontal="center"/>
    </xf>
    <xf numFmtId="14" fontId="23" fillId="8" borderId="33" xfId="0" applyNumberFormat="1" applyFont="1" applyFill="1" applyBorder="1" applyAlignment="1" applyProtection="1">
      <alignment horizontal="center"/>
    </xf>
    <xf numFmtId="15" fontId="32" fillId="13" borderId="32" xfId="0" applyNumberFormat="1" applyFont="1" applyFill="1" applyBorder="1" applyAlignment="1" applyProtection="1">
      <alignment horizontal="center"/>
    </xf>
    <xf numFmtId="169" fontId="21" fillId="5" borderId="1" xfId="1" applyNumberFormat="1" applyFont="1" applyFill="1" applyBorder="1" applyAlignment="1" applyProtection="1">
      <alignment horizontal="center"/>
    </xf>
    <xf numFmtId="168" fontId="25" fillId="5" borderId="8" xfId="1" applyNumberFormat="1" applyFont="1" applyFill="1" applyBorder="1" applyAlignment="1" applyProtection="1">
      <alignment horizontal="center"/>
    </xf>
    <xf numFmtId="168" fontId="21" fillId="5" borderId="32" xfId="0" applyNumberFormat="1" applyFont="1" applyFill="1" applyBorder="1" applyAlignment="1" applyProtection="1">
      <alignment horizontal="center"/>
    </xf>
    <xf numFmtId="1" fontId="23" fillId="8" borderId="43" xfId="0" applyNumberFormat="1" applyFont="1" applyFill="1" applyBorder="1" applyProtection="1"/>
    <xf numFmtId="15" fontId="32" fillId="13" borderId="33" xfId="0" applyNumberFormat="1" applyFont="1" applyFill="1" applyBorder="1" applyAlignment="1" applyProtection="1">
      <alignment horizontal="center"/>
    </xf>
    <xf numFmtId="169" fontId="21" fillId="12" borderId="0" xfId="1" applyNumberFormat="1" applyFont="1" applyFill="1" applyBorder="1" applyAlignment="1" applyProtection="1">
      <alignment horizontal="center"/>
    </xf>
    <xf numFmtId="169" fontId="21" fillId="12" borderId="9" xfId="1" applyNumberFormat="1" applyFont="1" applyFill="1" applyBorder="1" applyAlignment="1" applyProtection="1">
      <alignment horizontal="center"/>
    </xf>
    <xf numFmtId="168" fontId="21" fillId="5" borderId="33" xfId="0" applyNumberFormat="1" applyFont="1" applyFill="1" applyBorder="1" applyAlignment="1" applyProtection="1">
      <alignment horizontal="center"/>
    </xf>
    <xf numFmtId="169" fontId="21" fillId="5" borderId="0" xfId="1" applyNumberFormat="1" applyFont="1" applyFill="1" applyBorder="1" applyAlignment="1" applyProtection="1">
      <alignment horizontal="center"/>
    </xf>
    <xf numFmtId="10" fontId="20" fillId="5" borderId="3" xfId="4" applyNumberFormat="1" applyFont="1" applyFill="1" applyBorder="1" applyAlignment="1" applyProtection="1">
      <alignment horizontal="right"/>
    </xf>
    <xf numFmtId="1" fontId="23" fillId="8" borderId="44" xfId="0" applyNumberFormat="1" applyFont="1" applyFill="1" applyBorder="1" applyProtection="1"/>
    <xf numFmtId="10" fontId="24" fillId="5" borderId="35" xfId="0" applyNumberFormat="1" applyFont="1" applyFill="1" applyBorder="1" applyAlignment="1" applyProtection="1">
      <alignment horizontal="center"/>
    </xf>
    <xf numFmtId="0" fontId="21" fillId="5" borderId="36" xfId="0" applyFont="1" applyFill="1" applyBorder="1" applyProtection="1"/>
    <xf numFmtId="168" fontId="24" fillId="5" borderId="37" xfId="0" applyNumberFormat="1" applyFont="1" applyFill="1" applyBorder="1" applyProtection="1"/>
    <xf numFmtId="168" fontId="24" fillId="5" borderId="38" xfId="0" applyNumberFormat="1" applyFont="1" applyFill="1" applyBorder="1" applyProtection="1"/>
    <xf numFmtId="168" fontId="21" fillId="5" borderId="34" xfId="0" applyNumberFormat="1" applyFont="1" applyFill="1" applyBorder="1" applyAlignment="1" applyProtection="1">
      <alignment horizontal="center"/>
    </xf>
    <xf numFmtId="3" fontId="18" fillId="5" borderId="0" xfId="0" applyNumberFormat="1" applyFont="1" applyFill="1" applyBorder="1" applyAlignment="1" applyProtection="1">
      <alignment horizontal="center"/>
    </xf>
    <xf numFmtId="0" fontId="18" fillId="5" borderId="15" xfId="0" applyFont="1" applyFill="1" applyBorder="1" applyProtection="1"/>
    <xf numFmtId="10" fontId="5" fillId="9" borderId="13" xfId="0" applyNumberFormat="1" applyFont="1" applyFill="1" applyBorder="1" applyAlignment="1" applyProtection="1">
      <alignment horizontal="left"/>
    </xf>
    <xf numFmtId="168" fontId="6" fillId="5" borderId="0" xfId="0" applyNumberFormat="1" applyFont="1" applyFill="1" applyBorder="1" applyProtection="1"/>
    <xf numFmtId="3" fontId="18" fillId="5" borderId="0" xfId="0" applyNumberFormat="1" applyFont="1" applyFill="1" applyAlignment="1" applyProtection="1">
      <alignment horizontal="center"/>
    </xf>
    <xf numFmtId="166" fontId="17" fillId="9" borderId="17" xfId="4" applyNumberFormat="1" applyFont="1" applyFill="1" applyBorder="1" applyAlignment="1" applyProtection="1">
      <alignment horizontal="center"/>
    </xf>
    <xf numFmtId="0" fontId="17" fillId="5" borderId="6" xfId="0" applyFont="1" applyFill="1" applyBorder="1" applyAlignment="1" applyProtection="1">
      <alignment horizontal="center"/>
    </xf>
    <xf numFmtId="3" fontId="2" fillId="5" borderId="0" xfId="0" applyNumberFormat="1" applyFont="1" applyFill="1" applyBorder="1" applyAlignment="1" applyProtection="1">
      <alignment horizontal="center"/>
    </xf>
    <xf numFmtId="3" fontId="17" fillId="10" borderId="22" xfId="0" applyNumberFormat="1" applyFont="1" applyFill="1" applyBorder="1" applyAlignment="1" applyProtection="1">
      <alignment horizontal="center"/>
    </xf>
    <xf numFmtId="10" fontId="4" fillId="5" borderId="6" xfId="0" applyNumberFormat="1" applyFont="1" applyFill="1" applyBorder="1" applyAlignment="1" applyProtection="1">
      <alignment horizontal="center"/>
    </xf>
    <xf numFmtId="0" fontId="18" fillId="5" borderId="6" xfId="0" applyFont="1" applyFill="1" applyBorder="1" applyProtection="1"/>
    <xf numFmtId="0" fontId="18" fillId="5" borderId="6" xfId="0" applyFont="1" applyFill="1" applyBorder="1" applyAlignment="1" applyProtection="1">
      <alignment horizontal="center"/>
    </xf>
    <xf numFmtId="166" fontId="18" fillId="5" borderId="28" xfId="4" applyNumberFormat="1" applyFont="1" applyFill="1" applyBorder="1" applyAlignment="1" applyProtection="1">
      <alignment horizontal="center"/>
    </xf>
    <xf numFmtId="10" fontId="5" fillId="5" borderId="12" xfId="0" applyNumberFormat="1" applyFont="1" applyFill="1" applyBorder="1" applyAlignment="1" applyProtection="1">
      <alignment horizontal="center"/>
    </xf>
    <xf numFmtId="166" fontId="18" fillId="5" borderId="6" xfId="4" applyNumberFormat="1" applyFont="1" applyFill="1" applyBorder="1" applyAlignment="1" applyProtection="1">
      <alignment horizontal="center"/>
    </xf>
    <xf numFmtId="0" fontId="0" fillId="5" borderId="7" xfId="0" applyFill="1" applyBorder="1" applyAlignment="1" applyProtection="1">
      <alignment horizontal="center"/>
    </xf>
    <xf numFmtId="0" fontId="0" fillId="2" borderId="28" xfId="0" applyFill="1" applyBorder="1" applyProtection="1"/>
    <xf numFmtId="14" fontId="14" fillId="2" borderId="5" xfId="1" applyNumberFormat="1" applyFont="1" applyFill="1" applyBorder="1" applyProtection="1"/>
    <xf numFmtId="3" fontId="2" fillId="6" borderId="1" xfId="0" applyNumberFormat="1" applyFont="1" applyFill="1" applyBorder="1" applyAlignment="1" applyProtection="1">
      <alignment horizontal="center"/>
    </xf>
    <xf numFmtId="0" fontId="18" fillId="6" borderId="1" xfId="0" applyFont="1" applyFill="1" applyBorder="1" applyProtection="1"/>
    <xf numFmtId="0" fontId="18" fillId="6" borderId="8" xfId="0" applyFont="1" applyFill="1" applyBorder="1" applyProtection="1"/>
    <xf numFmtId="0" fontId="27" fillId="5" borderId="15" xfId="0" applyFont="1" applyFill="1" applyBorder="1" applyProtection="1"/>
    <xf numFmtId="15" fontId="33" fillId="10" borderId="7" xfId="0" applyNumberFormat="1" applyFont="1" applyFill="1" applyBorder="1" applyAlignment="1" applyProtection="1">
      <alignment horizontal="center"/>
    </xf>
    <xf numFmtId="15" fontId="1" fillId="7" borderId="13" xfId="0" applyNumberFormat="1" applyFont="1" applyFill="1" applyBorder="1" applyAlignment="1" applyProtection="1">
      <alignment horizontal="center"/>
    </xf>
    <xf numFmtId="0" fontId="17" fillId="5" borderId="0" xfId="0" applyFont="1" applyFill="1" applyBorder="1" applyAlignment="1" applyProtection="1">
      <alignment horizontal="center"/>
    </xf>
    <xf numFmtId="3" fontId="1" fillId="5" borderId="0" xfId="0" applyNumberFormat="1" applyFont="1" applyFill="1" applyBorder="1" applyAlignment="1" applyProtection="1">
      <alignment horizontal="center"/>
    </xf>
    <xf numFmtId="166" fontId="17" fillId="5" borderId="0" xfId="4" applyNumberFormat="1" applyFont="1" applyFill="1" applyBorder="1" applyAlignment="1" applyProtection="1">
      <alignment horizontal="center"/>
    </xf>
    <xf numFmtId="0" fontId="18" fillId="5" borderId="16" xfId="0" applyFont="1" applyFill="1" applyBorder="1" applyProtection="1"/>
    <xf numFmtId="10" fontId="1" fillId="5" borderId="0" xfId="0" applyNumberFormat="1" applyFont="1" applyFill="1" applyBorder="1" applyAlignment="1" applyProtection="1">
      <alignment horizontal="left"/>
    </xf>
    <xf numFmtId="0" fontId="31" fillId="5" borderId="0" xfId="0" applyFont="1" applyFill="1" applyBorder="1" applyProtection="1"/>
    <xf numFmtId="3" fontId="31" fillId="5" borderId="0" xfId="0" applyNumberFormat="1" applyFont="1" applyFill="1" applyBorder="1" applyAlignment="1" applyProtection="1">
      <alignment horizontal="center"/>
    </xf>
    <xf numFmtId="3" fontId="18" fillId="6" borderId="0" xfId="0" applyNumberFormat="1" applyFont="1" applyFill="1" applyBorder="1" applyProtection="1"/>
    <xf numFmtId="167" fontId="2" fillId="6" borderId="0" xfId="4" applyNumberFormat="1" applyFont="1" applyFill="1" applyBorder="1" applyProtection="1"/>
    <xf numFmtId="0" fontId="18" fillId="6" borderId="9" xfId="0" applyFont="1" applyFill="1" applyBorder="1" applyProtection="1"/>
    <xf numFmtId="10" fontId="1" fillId="10" borderId="5" xfId="4" applyNumberFormat="1" applyFont="1" applyFill="1" applyBorder="1" applyAlignment="1" applyProtection="1">
      <alignment horizontal="center"/>
    </xf>
    <xf numFmtId="10" fontId="5" fillId="5" borderId="6" xfId="0" applyNumberFormat="1" applyFont="1" applyFill="1" applyBorder="1" applyAlignment="1" applyProtection="1">
      <alignment horizontal="center" vertical="top" wrapText="1"/>
    </xf>
    <xf numFmtId="3" fontId="5" fillId="5" borderId="3" xfId="0" applyNumberFormat="1" applyFont="1" applyFill="1" applyBorder="1" applyAlignment="1" applyProtection="1">
      <alignment horizontal="center" vertical="top" wrapText="1"/>
    </xf>
    <xf numFmtId="3" fontId="1" fillId="5" borderId="1" xfId="0" applyNumberFormat="1" applyFont="1" applyFill="1" applyBorder="1" applyAlignment="1" applyProtection="1">
      <alignment horizontal="center" vertical="top" wrapText="1"/>
    </xf>
    <xf numFmtId="0" fontId="3" fillId="4" borderId="23" xfId="0" applyFont="1" applyFill="1" applyBorder="1" applyProtection="1"/>
    <xf numFmtId="10" fontId="14" fillId="2" borderId="6" xfId="1" applyNumberFormat="1" applyFont="1" applyFill="1" applyBorder="1" applyProtection="1"/>
    <xf numFmtId="0" fontId="0" fillId="2" borderId="6" xfId="0" applyFill="1" applyBorder="1" applyProtection="1"/>
    <xf numFmtId="170" fontId="14" fillId="2" borderId="7" xfId="1" applyNumberFormat="1" applyFont="1" applyFill="1" applyBorder="1" applyProtection="1"/>
    <xf numFmtId="0" fontId="0" fillId="2" borderId="0" xfId="0" applyFill="1" applyBorder="1" applyProtection="1"/>
    <xf numFmtId="0" fontId="0" fillId="2" borderId="9" xfId="0" applyFill="1" applyBorder="1" applyProtection="1"/>
    <xf numFmtId="0" fontId="0" fillId="5" borderId="0" xfId="0" applyFill="1" applyBorder="1" applyAlignment="1" applyProtection="1">
      <alignment horizontal="center" vertical="top" wrapText="1"/>
    </xf>
    <xf numFmtId="0" fontId="0" fillId="5" borderId="10" xfId="0" applyFill="1" applyBorder="1" applyAlignment="1" applyProtection="1">
      <alignment horizontal="center" vertical="top" wrapText="1"/>
    </xf>
    <xf numFmtId="0" fontId="0" fillId="5" borderId="11" xfId="0" applyFill="1" applyBorder="1" applyAlignment="1" applyProtection="1">
      <alignment horizontal="center" vertical="top" wrapText="1"/>
    </xf>
    <xf numFmtId="0" fontId="0" fillId="2" borderId="2" xfId="0" applyFill="1" applyBorder="1" applyProtection="1"/>
    <xf numFmtId="170" fontId="14" fillId="2" borderId="1" xfId="1" applyNumberFormat="1" applyFont="1" applyFill="1" applyBorder="1" applyProtection="1"/>
    <xf numFmtId="0" fontId="0" fillId="2" borderId="1" xfId="0" applyFill="1" applyBorder="1" applyProtection="1"/>
    <xf numFmtId="169" fontId="0" fillId="2" borderId="1" xfId="0" applyNumberFormat="1" applyFill="1" applyBorder="1" applyProtection="1"/>
    <xf numFmtId="0" fontId="0" fillId="2" borderId="8" xfId="0" applyFill="1" applyBorder="1" applyProtection="1"/>
    <xf numFmtId="14" fontId="19" fillId="8" borderId="12" xfId="0" applyNumberFormat="1" applyFont="1" applyFill="1" applyBorder="1" applyAlignment="1" applyProtection="1">
      <alignment horizontal="center"/>
    </xf>
    <xf numFmtId="14" fontId="19" fillId="8" borderId="28" xfId="0" applyNumberFormat="1" applyFont="1" applyFill="1" applyBorder="1" applyAlignment="1" applyProtection="1">
      <alignment horizontal="right"/>
    </xf>
    <xf numFmtId="15" fontId="33" fillId="10" borderId="5" xfId="0" applyNumberFormat="1" applyFont="1" applyFill="1" applyBorder="1" applyAlignment="1" applyProtection="1">
      <alignment horizontal="center"/>
    </xf>
    <xf numFmtId="15" fontId="1" fillId="7" borderId="4" xfId="0" applyNumberFormat="1" applyFont="1" applyFill="1" applyBorder="1" applyAlignment="1" applyProtection="1">
      <alignment horizontal="center"/>
    </xf>
    <xf numFmtId="168" fontId="1" fillId="7" borderId="13" xfId="0" applyNumberFormat="1" applyFont="1" applyFill="1" applyBorder="1" applyAlignment="1" applyProtection="1">
      <alignment horizontal="center"/>
    </xf>
    <xf numFmtId="168" fontId="6" fillId="5" borderId="13" xfId="0" applyNumberFormat="1" applyFont="1" applyFill="1" applyBorder="1" applyAlignment="1" applyProtection="1">
      <alignment horizontal="center"/>
    </xf>
    <xf numFmtId="168" fontId="6" fillId="5" borderId="17" xfId="0" applyNumberFormat="1" applyFont="1" applyFill="1" applyBorder="1" applyAlignment="1" applyProtection="1">
      <alignment horizontal="center"/>
    </xf>
    <xf numFmtId="168" fontId="6" fillId="5" borderId="15" xfId="0" applyNumberFormat="1" applyFont="1" applyFill="1" applyBorder="1" applyAlignment="1" applyProtection="1">
      <alignment horizontal="center"/>
    </xf>
    <xf numFmtId="0" fontId="18" fillId="5" borderId="31" xfId="0" applyFont="1" applyFill="1" applyBorder="1" applyProtection="1"/>
    <xf numFmtId="168" fontId="6" fillId="5" borderId="2" xfId="0" applyNumberFormat="1" applyFont="1" applyFill="1" applyBorder="1" applyAlignment="1" applyProtection="1">
      <alignment horizontal="center"/>
    </xf>
    <xf numFmtId="168" fontId="6" fillId="5" borderId="1" xfId="0" applyNumberFormat="1" applyFont="1" applyFill="1" applyBorder="1" applyAlignment="1" applyProtection="1">
      <alignment horizontal="center"/>
    </xf>
    <xf numFmtId="168" fontId="6" fillId="5" borderId="0" xfId="0" applyNumberFormat="1" applyFont="1" applyFill="1" applyBorder="1" applyAlignment="1" applyProtection="1">
      <alignment horizontal="center"/>
    </xf>
    <xf numFmtId="168" fontId="6" fillId="5" borderId="18" xfId="0" applyNumberFormat="1" applyFont="1" applyFill="1" applyBorder="1" applyAlignment="1" applyProtection="1">
      <alignment horizontal="center"/>
    </xf>
    <xf numFmtId="14" fontId="31" fillId="5" borderId="0" xfId="0" applyNumberFormat="1" applyFont="1" applyFill="1" applyBorder="1" applyAlignment="1" applyProtection="1">
      <alignment horizontal="left"/>
    </xf>
    <xf numFmtId="166" fontId="34" fillId="5" borderId="0" xfId="4" applyNumberFormat="1" applyFont="1" applyFill="1" applyBorder="1" applyAlignment="1" applyProtection="1">
      <alignment horizontal="left"/>
    </xf>
    <xf numFmtId="14" fontId="10" fillId="2" borderId="3" xfId="0" applyNumberFormat="1" applyFont="1" applyFill="1" applyBorder="1" applyProtection="1"/>
    <xf numFmtId="170" fontId="0" fillId="2" borderId="0" xfId="0" applyNumberFormat="1" applyFill="1" applyBorder="1" applyProtection="1"/>
    <xf numFmtId="165" fontId="14" fillId="2" borderId="0" xfId="1" applyFont="1" applyFill="1" applyBorder="1" applyProtection="1"/>
    <xf numFmtId="43" fontId="0" fillId="2" borderId="0" xfId="0" applyNumberFormat="1" applyFill="1" applyBorder="1" applyProtection="1"/>
    <xf numFmtId="169" fontId="0" fillId="2" borderId="0" xfId="0" applyNumberFormat="1" applyFill="1" applyBorder="1" applyProtection="1"/>
    <xf numFmtId="171" fontId="0" fillId="2" borderId="0" xfId="0" applyNumberFormat="1" applyFill="1" applyBorder="1" applyProtection="1"/>
    <xf numFmtId="1" fontId="19" fillId="8" borderId="15" xfId="0" applyNumberFormat="1" applyFont="1" applyFill="1" applyBorder="1" applyProtection="1"/>
    <xf numFmtId="15" fontId="1" fillId="7" borderId="17" xfId="0" applyNumberFormat="1" applyFont="1" applyFill="1" applyBorder="1" applyAlignment="1" applyProtection="1">
      <alignment horizontal="center"/>
    </xf>
    <xf numFmtId="168" fontId="1" fillId="5" borderId="14" xfId="0" applyNumberFormat="1" applyFont="1" applyFill="1" applyBorder="1" applyAlignment="1" applyProtection="1">
      <alignment horizontal="center"/>
    </xf>
    <xf numFmtId="168" fontId="6" fillId="10" borderId="17" xfId="0" applyNumberFormat="1" applyFont="1" applyFill="1" applyBorder="1" applyAlignment="1" applyProtection="1">
      <alignment horizontal="center"/>
    </xf>
    <xf numFmtId="168" fontId="6" fillId="5" borderId="6" xfId="0" applyNumberFormat="1" applyFont="1" applyFill="1" applyBorder="1" applyAlignment="1" applyProtection="1">
      <alignment horizontal="center"/>
    </xf>
    <xf numFmtId="168" fontId="6" fillId="5" borderId="3" xfId="0" applyNumberFormat="1" applyFont="1" applyFill="1" applyBorder="1" applyAlignment="1" applyProtection="1">
      <alignment horizontal="center"/>
    </xf>
    <xf numFmtId="168" fontId="6" fillId="5" borderId="16" xfId="0" applyNumberFormat="1" applyFont="1" applyFill="1" applyBorder="1" applyAlignment="1" applyProtection="1">
      <alignment horizontal="center"/>
    </xf>
    <xf numFmtId="15" fontId="1" fillId="7" borderId="14" xfId="0" applyNumberFormat="1" applyFont="1" applyFill="1" applyBorder="1" applyAlignment="1" applyProtection="1">
      <alignment horizontal="center"/>
    </xf>
    <xf numFmtId="168" fontId="6" fillId="10" borderId="14" xfId="0" applyNumberFormat="1" applyFont="1" applyFill="1" applyBorder="1" applyAlignment="1" applyProtection="1">
      <alignment horizontal="center"/>
    </xf>
    <xf numFmtId="14" fontId="31" fillId="5" borderId="0" xfId="0" applyNumberFormat="1" applyFont="1" applyFill="1" applyBorder="1" applyAlignment="1" applyProtection="1">
      <alignment horizontal="right"/>
    </xf>
    <xf numFmtId="176" fontId="1" fillId="5" borderId="14" xfId="0" applyNumberFormat="1" applyFont="1" applyFill="1" applyBorder="1" applyAlignment="1" applyProtection="1">
      <alignment horizontal="center"/>
    </xf>
    <xf numFmtId="166" fontId="35" fillId="5" borderId="0" xfId="4" applyNumberFormat="1" applyFont="1" applyFill="1" applyBorder="1" applyAlignment="1" applyProtection="1">
      <alignment horizontal="left"/>
    </xf>
    <xf numFmtId="10" fontId="5" fillId="5" borderId="0" xfId="0" applyNumberFormat="1" applyFont="1" applyFill="1" applyBorder="1" applyAlignment="1" applyProtection="1">
      <alignment horizontal="left"/>
    </xf>
    <xf numFmtId="177" fontId="18" fillId="5" borderId="0" xfId="0" applyNumberFormat="1" applyFont="1" applyFill="1" applyBorder="1" applyProtection="1"/>
    <xf numFmtId="168" fontId="6" fillId="10" borderId="22" xfId="0" applyNumberFormat="1" applyFont="1" applyFill="1" applyBorder="1" applyAlignment="1" applyProtection="1">
      <alignment horizontal="center"/>
    </xf>
    <xf numFmtId="168" fontId="6" fillId="5" borderId="19" xfId="0" applyNumberFormat="1" applyFont="1" applyFill="1" applyBorder="1" applyAlignment="1" applyProtection="1">
      <alignment horizontal="center"/>
    </xf>
    <xf numFmtId="168" fontId="6" fillId="5" borderId="29" xfId="0" applyNumberFormat="1" applyFont="1" applyFill="1" applyBorder="1" applyAlignment="1" applyProtection="1">
      <alignment horizontal="center"/>
    </xf>
    <xf numFmtId="168" fontId="6" fillId="5" borderId="30" xfId="0" applyNumberFormat="1" applyFont="1" applyFill="1" applyBorder="1" applyAlignment="1" applyProtection="1">
      <alignment horizontal="center"/>
    </xf>
    <xf numFmtId="168" fontId="6" fillId="5" borderId="20" xfId="0" applyNumberFormat="1" applyFont="1" applyFill="1" applyBorder="1" applyAlignment="1" applyProtection="1">
      <alignment horizontal="center"/>
    </xf>
    <xf numFmtId="1" fontId="19" fillId="8" borderId="29" xfId="0" applyNumberFormat="1" applyFont="1" applyFill="1" applyBorder="1" applyProtection="1"/>
    <xf numFmtId="168" fontId="1" fillId="5" borderId="13" xfId="0" applyNumberFormat="1" applyFont="1" applyFill="1" applyBorder="1" applyAlignment="1" applyProtection="1">
      <alignment horizontal="center"/>
    </xf>
    <xf numFmtId="3" fontId="6" fillId="5" borderId="0" xfId="0" applyNumberFormat="1" applyFont="1" applyFill="1" applyBorder="1" applyAlignment="1" applyProtection="1">
      <alignment horizontal="center"/>
    </xf>
    <xf numFmtId="175" fontId="6" fillId="5" borderId="0" xfId="0" applyNumberFormat="1" applyFont="1" applyFill="1" applyBorder="1" applyAlignment="1" applyProtection="1">
      <alignment horizontal="center"/>
    </xf>
    <xf numFmtId="173" fontId="6" fillId="5" borderId="0" xfId="0" applyNumberFormat="1" applyFont="1" applyFill="1" applyBorder="1" applyAlignment="1" applyProtection="1">
      <alignment horizontal="center"/>
    </xf>
    <xf numFmtId="0" fontId="3" fillId="2" borderId="3" xfId="0" applyFont="1" applyFill="1" applyBorder="1" applyProtection="1"/>
    <xf numFmtId="170" fontId="3" fillId="2" borderId="0" xfId="1" applyNumberFormat="1" applyFont="1" applyFill="1" applyBorder="1" applyProtection="1"/>
    <xf numFmtId="172" fontId="3" fillId="2" borderId="0" xfId="1" applyNumberFormat="1" applyFont="1" applyFill="1" applyBorder="1" applyProtection="1"/>
    <xf numFmtId="0" fontId="19" fillId="5" borderId="0" xfId="0" applyFont="1" applyFill="1" applyBorder="1" applyProtection="1"/>
    <xf numFmtId="0" fontId="0" fillId="2" borderId="10" xfId="0" applyFill="1" applyBorder="1" applyProtection="1"/>
    <xf numFmtId="170" fontId="14" fillId="2" borderId="11" xfId="1" applyNumberFormat="1" applyFont="1" applyFill="1" applyBorder="1" applyProtection="1"/>
    <xf numFmtId="0" fontId="0" fillId="11" borderId="11" xfId="0" applyFill="1" applyBorder="1" applyProtection="1"/>
    <xf numFmtId="43" fontId="3" fillId="11" borderId="11" xfId="0" applyNumberFormat="1" applyFont="1" applyFill="1" applyBorder="1" applyProtection="1"/>
    <xf numFmtId="0" fontId="3" fillId="2" borderId="11" xfId="0" applyFont="1" applyFill="1" applyBorder="1" applyProtection="1"/>
    <xf numFmtId="43" fontId="3" fillId="11" borderId="24" xfId="0" applyNumberFormat="1" applyFont="1" applyFill="1" applyBorder="1" applyProtection="1"/>
    <xf numFmtId="0" fontId="3" fillId="11" borderId="26" xfId="0" applyFont="1" applyFill="1" applyBorder="1" applyProtection="1"/>
    <xf numFmtId="43" fontId="3" fillId="11" borderId="12" xfId="0" applyNumberFormat="1" applyFont="1" applyFill="1" applyBorder="1" applyProtection="1"/>
    <xf numFmtId="0" fontId="3" fillId="11" borderId="25" xfId="0" applyFont="1" applyFill="1" applyBorder="1" applyProtection="1"/>
    <xf numFmtId="0" fontId="6" fillId="5" borderId="15" xfId="0" applyFont="1" applyFill="1" applyBorder="1" applyProtection="1"/>
    <xf numFmtId="10" fontId="1" fillId="5" borderId="13" xfId="0" applyNumberFormat="1" applyFont="1" applyFill="1" applyBorder="1" applyAlignment="1" applyProtection="1">
      <alignment horizontal="center"/>
    </xf>
    <xf numFmtId="10" fontId="1" fillId="5" borderId="4" xfId="0" applyNumberFormat="1" applyFont="1" applyFill="1" applyBorder="1" applyAlignment="1" applyProtection="1">
      <alignment horizontal="center"/>
    </xf>
    <xf numFmtId="168" fontId="1" fillId="5" borderId="4" xfId="0" applyNumberFormat="1" applyFont="1" applyFill="1" applyBorder="1" applyProtection="1"/>
    <xf numFmtId="168" fontId="1" fillId="5" borderId="5" xfId="0" applyNumberFormat="1" applyFont="1" applyFill="1" applyBorder="1" applyAlignment="1" applyProtection="1">
      <alignment horizontal="center"/>
    </xf>
    <xf numFmtId="0" fontId="6" fillId="5" borderId="4" xfId="0" applyFont="1" applyFill="1" applyBorder="1" applyProtection="1"/>
    <xf numFmtId="168" fontId="1" fillId="5" borderId="13" xfId="0" applyNumberFormat="1" applyFont="1" applyFill="1" applyBorder="1" applyProtection="1"/>
    <xf numFmtId="168" fontId="1" fillId="5" borderId="5" xfId="0" applyNumberFormat="1" applyFont="1" applyFill="1" applyBorder="1" applyProtection="1"/>
    <xf numFmtId="0" fontId="0" fillId="2" borderId="0" xfId="0" applyFill="1" applyProtection="1"/>
    <xf numFmtId="170" fontId="14" fillId="2" borderId="0" xfId="1" applyNumberFormat="1" applyFont="1" applyFill="1" applyProtection="1"/>
    <xf numFmtId="43" fontId="3" fillId="11" borderId="22" xfId="0" applyNumberFormat="1" applyFont="1" applyFill="1" applyBorder="1" applyProtection="1"/>
    <xf numFmtId="0" fontId="3" fillId="11" borderId="19" xfId="0" applyFont="1" applyFill="1" applyBorder="1" applyProtection="1"/>
    <xf numFmtId="0" fontId="0" fillId="2" borderId="11" xfId="0" applyFill="1" applyBorder="1" applyProtection="1"/>
    <xf numFmtId="43" fontId="3" fillId="11" borderId="27" xfId="0" applyNumberFormat="1" applyFont="1" applyFill="1" applyBorder="1" applyProtection="1"/>
    <xf numFmtId="0" fontId="3" fillId="11" borderId="21" xfId="0" applyFont="1" applyFill="1" applyBorder="1" applyProtection="1"/>
    <xf numFmtId="0" fontId="6" fillId="6" borderId="0" xfId="0" applyFont="1" applyFill="1" applyProtection="1"/>
    <xf numFmtId="15" fontId="6" fillId="5" borderId="0" xfId="0" applyNumberFormat="1" applyFont="1" applyFill="1" applyBorder="1" applyAlignment="1" applyProtection="1">
      <alignment horizontal="center"/>
    </xf>
    <xf numFmtId="3" fontId="2" fillId="6" borderId="0" xfId="0" applyNumberFormat="1" applyFont="1" applyFill="1" applyAlignment="1" applyProtection="1">
      <alignment horizontal="center"/>
    </xf>
    <xf numFmtId="0" fontId="15" fillId="6" borderId="0" xfId="0" applyFont="1" applyFill="1" applyProtection="1"/>
    <xf numFmtId="3" fontId="2" fillId="6" borderId="0" xfId="0" applyNumberFormat="1" applyFont="1" applyFill="1" applyBorder="1" applyAlignment="1" applyProtection="1">
      <alignment horizontal="center"/>
    </xf>
    <xf numFmtId="0" fontId="16" fillId="6" borderId="0" xfId="0" applyFont="1" applyFill="1" applyProtection="1"/>
    <xf numFmtId="3" fontId="15" fillId="6" borderId="0" xfId="0" applyNumberFormat="1" applyFont="1" applyFill="1" applyAlignment="1" applyProtection="1">
      <alignment horizontal="center"/>
    </xf>
    <xf numFmtId="0" fontId="21" fillId="5" borderId="32" xfId="0" applyFont="1" applyFill="1" applyBorder="1" applyProtection="1"/>
    <xf numFmtId="10" fontId="22" fillId="5" borderId="32" xfId="0" applyNumberFormat="1" applyFont="1" applyFill="1" applyBorder="1" applyAlignment="1" applyProtection="1"/>
    <xf numFmtId="0" fontId="21" fillId="5" borderId="33" xfId="0" applyFont="1" applyFill="1" applyBorder="1" applyProtection="1"/>
    <xf numFmtId="0" fontId="18" fillId="5" borderId="36" xfId="0" applyFont="1" applyFill="1" applyBorder="1" applyProtection="1"/>
    <xf numFmtId="0" fontId="21" fillId="5" borderId="35" xfId="0" applyFont="1" applyFill="1" applyBorder="1" applyProtection="1"/>
    <xf numFmtId="10" fontId="24" fillId="5" borderId="36" xfId="0" applyNumberFormat="1" applyFont="1" applyFill="1" applyBorder="1" applyAlignment="1" applyProtection="1">
      <alignment horizontal="center"/>
    </xf>
    <xf numFmtId="0" fontId="21" fillId="5" borderId="37" xfId="0" applyFont="1" applyFill="1" applyBorder="1" applyProtection="1"/>
    <xf numFmtId="10" fontId="24" fillId="5" borderId="0" xfId="0" applyNumberFormat="1" applyFont="1" applyFill="1" applyBorder="1" applyAlignment="1" applyProtection="1">
      <alignment horizontal="center"/>
    </xf>
    <xf numFmtId="168" fontId="24" fillId="5" borderId="0" xfId="0" applyNumberFormat="1" applyFont="1" applyFill="1" applyBorder="1" applyProtection="1"/>
    <xf numFmtId="168" fontId="21" fillId="5" borderId="0" xfId="0" applyNumberFormat="1" applyFont="1" applyFill="1" applyBorder="1" applyAlignment="1" applyProtection="1">
      <alignment horizontal="center"/>
    </xf>
    <xf numFmtId="168" fontId="11" fillId="5" borderId="0" xfId="0" applyNumberFormat="1" applyFont="1" applyFill="1" applyBorder="1" applyAlignment="1" applyProtection="1">
      <alignment horizontal="center"/>
    </xf>
    <xf numFmtId="15" fontId="1" fillId="10" borderId="7" xfId="0" applyNumberFormat="1" applyFont="1" applyFill="1" applyBorder="1" applyAlignment="1" applyProtection="1">
      <alignment horizontal="center"/>
    </xf>
    <xf numFmtId="10" fontId="5" fillId="5" borderId="17" xfId="0" applyNumberFormat="1" applyFont="1" applyFill="1" applyBorder="1" applyAlignment="1" applyProtection="1">
      <alignment horizontal="center" vertical="top" wrapText="1"/>
    </xf>
    <xf numFmtId="0" fontId="0" fillId="5" borderId="14" xfId="0" applyFill="1" applyBorder="1" applyAlignment="1" applyProtection="1">
      <alignment horizontal="center" vertical="top" wrapText="1"/>
    </xf>
    <xf numFmtId="0" fontId="0" fillId="5" borderId="3" xfId="0" applyFill="1" applyBorder="1" applyAlignment="1" applyProtection="1">
      <alignment horizontal="center" vertical="top" wrapText="1"/>
    </xf>
    <xf numFmtId="3" fontId="7" fillId="5" borderId="0" xfId="0" applyNumberFormat="1" applyFont="1" applyFill="1" applyBorder="1" applyAlignment="1" applyProtection="1">
      <alignment horizontal="center"/>
    </xf>
    <xf numFmtId="15" fontId="1" fillId="10" borderId="5" xfId="0" applyNumberFormat="1" applyFont="1" applyFill="1" applyBorder="1" applyAlignment="1" applyProtection="1">
      <alignment horizontal="center"/>
    </xf>
    <xf numFmtId="168" fontId="1" fillId="7" borderId="7" xfId="0" applyNumberFormat="1" applyFont="1" applyFill="1" applyBorder="1" applyAlignment="1" applyProtection="1">
      <alignment horizontal="center"/>
    </xf>
    <xf numFmtId="168" fontId="6" fillId="5" borderId="12" xfId="0" applyNumberFormat="1" applyFont="1" applyFill="1" applyBorder="1" applyAlignment="1" applyProtection="1">
      <alignment horizontal="center"/>
    </xf>
    <xf numFmtId="0" fontId="18" fillId="5" borderId="12" xfId="0" applyFont="1" applyFill="1" applyBorder="1" applyProtection="1"/>
    <xf numFmtId="168" fontId="6" fillId="5" borderId="23" xfId="0" applyNumberFormat="1" applyFont="1" applyFill="1" applyBorder="1" applyAlignment="1" applyProtection="1">
      <alignment horizontal="center"/>
    </xf>
    <xf numFmtId="168" fontId="6" fillId="5" borderId="7" xfId="0" applyNumberFormat="1" applyFont="1" applyFill="1" applyBorder="1" applyAlignment="1" applyProtection="1">
      <alignment horizontal="center"/>
    </xf>
    <xf numFmtId="1" fontId="19" fillId="8" borderId="14" xfId="0" applyNumberFormat="1" applyFont="1" applyFill="1" applyBorder="1" applyProtection="1"/>
    <xf numFmtId="168" fontId="1" fillId="5" borderId="7" xfId="0" applyNumberFormat="1" applyFont="1" applyFill="1" applyBorder="1" applyAlignment="1" applyProtection="1">
      <alignment horizontal="center"/>
    </xf>
    <xf numFmtId="168" fontId="1" fillId="5" borderId="15" xfId="0" applyNumberFormat="1" applyFont="1" applyFill="1" applyBorder="1" applyAlignment="1" applyProtection="1">
      <alignment horizontal="center"/>
    </xf>
    <xf numFmtId="168" fontId="1" fillId="5" borderId="16" xfId="0" applyNumberFormat="1" applyFont="1" applyFill="1" applyBorder="1" applyAlignment="1" applyProtection="1">
      <alignment horizontal="center"/>
    </xf>
    <xf numFmtId="9" fontId="1" fillId="7" borderId="14" xfId="4" applyFont="1" applyFill="1" applyBorder="1" applyAlignment="1" applyProtection="1">
      <alignment horizontal="center"/>
    </xf>
    <xf numFmtId="1" fontId="19" fillId="8" borderId="22" xfId="0" applyNumberFormat="1" applyFont="1" applyFill="1" applyBorder="1" applyProtection="1"/>
    <xf numFmtId="15" fontId="1" fillId="7" borderId="22" xfId="0" applyNumberFormat="1" applyFont="1" applyFill="1" applyBorder="1" applyAlignment="1" applyProtection="1">
      <alignment horizontal="center"/>
    </xf>
    <xf numFmtId="168" fontId="1" fillId="5" borderId="20" xfId="0" applyNumberFormat="1" applyFont="1" applyFill="1" applyBorder="1" applyAlignment="1" applyProtection="1">
      <alignment horizontal="center"/>
    </xf>
    <xf numFmtId="168" fontId="1" fillId="5" borderId="29" xfId="0" applyNumberFormat="1" applyFont="1" applyFill="1" applyBorder="1" applyAlignment="1" applyProtection="1">
      <alignment horizontal="center"/>
    </xf>
    <xf numFmtId="9" fontId="6" fillId="5" borderId="13" xfId="4" applyFont="1" applyFill="1" applyBorder="1" applyAlignment="1" applyProtection="1">
      <alignment horizontal="center"/>
    </xf>
    <xf numFmtId="3" fontId="6" fillId="5" borderId="16" xfId="0" applyNumberFormat="1" applyFont="1" applyFill="1" applyBorder="1" applyAlignment="1" applyProtection="1">
      <alignment horizontal="center"/>
    </xf>
    <xf numFmtId="0" fontId="0" fillId="3" borderId="11" xfId="0" applyFill="1" applyBorder="1" applyProtection="1"/>
    <xf numFmtId="43" fontId="3" fillId="3" borderId="11" xfId="0" applyNumberFormat="1" applyFont="1" applyFill="1" applyBorder="1" applyProtection="1"/>
    <xf numFmtId="43" fontId="3" fillId="3" borderId="24" xfId="0" applyNumberFormat="1" applyFont="1" applyFill="1" applyBorder="1" applyProtection="1"/>
    <xf numFmtId="0" fontId="3" fillId="3" borderId="26" xfId="0" applyFont="1" applyFill="1" applyBorder="1" applyProtection="1"/>
    <xf numFmtId="43" fontId="3" fillId="3" borderId="12" xfId="0" applyNumberFormat="1" applyFont="1" applyFill="1" applyBorder="1" applyProtection="1"/>
    <xf numFmtId="0" fontId="3" fillId="3" borderId="25" xfId="0" applyFont="1" applyFill="1" applyBorder="1" applyProtection="1"/>
    <xf numFmtId="43" fontId="3" fillId="3" borderId="22" xfId="0" applyNumberFormat="1" applyFont="1" applyFill="1" applyBorder="1" applyProtection="1"/>
    <xf numFmtId="0" fontId="3" fillId="3" borderId="19" xfId="0" applyFont="1" applyFill="1" applyBorder="1" applyProtection="1"/>
    <xf numFmtId="43" fontId="3" fillId="3" borderId="27" xfId="0" applyNumberFormat="1" applyFont="1" applyFill="1" applyBorder="1" applyProtection="1"/>
    <xf numFmtId="0" fontId="3" fillId="3" borderId="21" xfId="0" applyFont="1" applyFill="1" applyBorder="1" applyProtection="1"/>
    <xf numFmtId="0" fontId="15" fillId="6" borderId="0" xfId="0" applyFont="1" applyFill="1" applyBorder="1" applyProtection="1"/>
    <xf numFmtId="3" fontId="15" fillId="6" borderId="0" xfId="0" applyNumberFormat="1" applyFont="1" applyFill="1" applyBorder="1" applyAlignment="1" applyProtection="1">
      <alignment horizontal="center"/>
    </xf>
    <xf numFmtId="15" fontId="21" fillId="5" borderId="32" xfId="0" applyNumberFormat="1" applyFont="1" applyFill="1" applyBorder="1" applyAlignment="1" applyProtection="1">
      <alignment horizontal="right"/>
    </xf>
    <xf numFmtId="15" fontId="21" fillId="5" borderId="33" xfId="0" applyNumberFormat="1" applyFont="1" applyFill="1" applyBorder="1" applyAlignment="1" applyProtection="1">
      <alignment horizontal="right"/>
    </xf>
    <xf numFmtId="169" fontId="21" fillId="5" borderId="33" xfId="1" applyNumberFormat="1" applyFont="1" applyFill="1" applyBorder="1" applyAlignment="1" applyProtection="1">
      <alignment horizontal="right"/>
    </xf>
    <xf numFmtId="3" fontId="21" fillId="5" borderId="33" xfId="0" applyNumberFormat="1" applyFont="1" applyFill="1" applyBorder="1" applyAlignment="1" applyProtection="1">
      <alignment horizontal="right"/>
    </xf>
    <xf numFmtId="10" fontId="21" fillId="5" borderId="33" xfId="4" applyNumberFormat="1" applyFont="1" applyFill="1" applyBorder="1" applyAlignment="1" applyProtection="1">
      <alignment horizontal="right"/>
    </xf>
    <xf numFmtId="169" fontId="26" fillId="5" borderId="33" xfId="1" applyNumberFormat="1" applyFont="1" applyFill="1" applyBorder="1" applyAlignment="1" applyProtection="1">
      <alignment horizontal="right"/>
    </xf>
    <xf numFmtId="166" fontId="21" fillId="5" borderId="33" xfId="4" applyNumberFormat="1" applyFont="1" applyFill="1" applyBorder="1" applyAlignment="1" applyProtection="1">
      <alignment horizontal="right"/>
    </xf>
    <xf numFmtId="10" fontId="24" fillId="5" borderId="33" xfId="4" applyNumberFormat="1" applyFont="1" applyFill="1" applyBorder="1" applyAlignment="1" applyProtection="1">
      <alignment horizontal="right"/>
    </xf>
    <xf numFmtId="2" fontId="21" fillId="5" borderId="33" xfId="0" applyNumberFormat="1" applyFont="1" applyFill="1" applyBorder="1" applyAlignment="1" applyProtection="1">
      <alignment horizontal="right"/>
    </xf>
    <xf numFmtId="2" fontId="24" fillId="5" borderId="34" xfId="0" applyNumberFormat="1" applyFont="1" applyFill="1" applyBorder="1" applyAlignment="1" applyProtection="1">
      <alignment horizontal="right"/>
    </xf>
    <xf numFmtId="166" fontId="28" fillId="14" borderId="32" xfId="4" applyNumberFormat="1" applyFont="1" applyFill="1" applyBorder="1" applyAlignment="1" applyProtection="1">
      <alignment horizontal="right"/>
      <protection locked="0"/>
    </xf>
    <xf numFmtId="10" fontId="26" fillId="14" borderId="33" xfId="4" applyNumberFormat="1" applyFont="1" applyFill="1" applyBorder="1" applyAlignment="1" applyProtection="1">
      <alignment horizontal="right"/>
      <protection locked="0"/>
    </xf>
    <xf numFmtId="169" fontId="28" fillId="14" borderId="34" xfId="1" applyNumberFormat="1" applyFont="1" applyFill="1" applyBorder="1" applyAlignment="1" applyProtection="1">
      <alignment horizontal="right"/>
      <protection locked="0"/>
    </xf>
    <xf numFmtId="10" fontId="31" fillId="15" borderId="33" xfId="4" applyNumberFormat="1" applyFont="1" applyFill="1" applyBorder="1" applyAlignment="1">
      <alignment horizontal="center"/>
    </xf>
    <xf numFmtId="174" fontId="29" fillId="5" borderId="15" xfId="0" applyNumberFormat="1" applyFont="1" applyFill="1" applyBorder="1" applyAlignment="1" applyProtection="1">
      <alignment horizontal="center" vertical="center"/>
    </xf>
    <xf numFmtId="174" fontId="29" fillId="5" borderId="29" xfId="0" applyNumberFormat="1" applyFont="1" applyFill="1" applyBorder="1" applyAlignment="1" applyProtection="1">
      <alignment horizontal="center" vertical="center"/>
    </xf>
    <xf numFmtId="0" fontId="31" fillId="5" borderId="15" xfId="0" applyFont="1" applyFill="1" applyBorder="1" applyAlignment="1" applyProtection="1">
      <alignment horizontal="center"/>
    </xf>
    <xf numFmtId="0" fontId="31" fillId="5" borderId="0" xfId="0" applyFont="1" applyFill="1" applyBorder="1" applyAlignment="1" applyProtection="1">
      <alignment horizontal="center"/>
    </xf>
    <xf numFmtId="10" fontId="1" fillId="5" borderId="0" xfId="0" applyNumberFormat="1" applyFont="1" applyFill="1" applyBorder="1" applyAlignment="1" applyProtection="1">
      <alignment horizontal="center" wrapText="1"/>
    </xf>
    <xf numFmtId="0" fontId="30" fillId="5" borderId="0" xfId="0" applyFont="1" applyFill="1" applyBorder="1" applyAlignment="1" applyProtection="1">
      <alignment horizontal="center"/>
    </xf>
    <xf numFmtId="0" fontId="36" fillId="5" borderId="2" xfId="0" applyFont="1" applyFill="1" applyBorder="1" applyAlignment="1" applyProtection="1">
      <alignment horizontal="center" vertical="center" wrapText="1"/>
    </xf>
    <xf numFmtId="0" fontId="37" fillId="0" borderId="1" xfId="0" applyFont="1" applyBorder="1" applyAlignment="1" applyProtection="1">
      <alignment vertical="center" wrapText="1"/>
    </xf>
    <xf numFmtId="0" fontId="37" fillId="0" borderId="8" xfId="0" applyFont="1" applyBorder="1" applyAlignment="1" applyProtection="1">
      <alignment vertical="center" wrapText="1"/>
    </xf>
    <xf numFmtId="10" fontId="32" fillId="13" borderId="3" xfId="4" applyNumberFormat="1" applyFont="1" applyFill="1" applyBorder="1" applyAlignment="1" applyProtection="1">
      <alignment horizontal="center" vertical="center" wrapText="1"/>
    </xf>
    <xf numFmtId="3" fontId="1" fillId="5" borderId="18" xfId="0" applyNumberFormat="1" applyFont="1" applyFill="1" applyBorder="1" applyAlignment="1" applyProtection="1">
      <alignment horizontal="center" vertical="top" wrapText="1"/>
    </xf>
    <xf numFmtId="3" fontId="1" fillId="5" borderId="39" xfId="0" applyNumberFormat="1" applyFont="1" applyFill="1" applyBorder="1" applyAlignment="1" applyProtection="1">
      <alignment horizontal="center" vertical="top" wrapText="1"/>
    </xf>
    <xf numFmtId="0" fontId="38" fillId="5" borderId="0" xfId="0" applyFont="1" applyFill="1" applyBorder="1" applyAlignment="1" applyProtection="1">
      <alignment horizontal="center" wrapText="1"/>
    </xf>
    <xf numFmtId="0" fontId="32" fillId="13" borderId="3" xfId="0" applyFont="1" applyFill="1" applyBorder="1" applyAlignment="1" applyProtection="1">
      <alignment horizontal="left"/>
    </xf>
    <xf numFmtId="0" fontId="32" fillId="13" borderId="0" xfId="0" applyFont="1" applyFill="1" applyBorder="1" applyAlignment="1" applyProtection="1">
      <alignment horizontal="left"/>
    </xf>
    <xf numFmtId="3" fontId="32" fillId="13" borderId="1" xfId="0" applyNumberFormat="1" applyFont="1" applyFill="1" applyBorder="1" applyAlignment="1" applyProtection="1">
      <alignment horizontal="center" vertical="center" wrapText="1"/>
    </xf>
    <xf numFmtId="3" fontId="32" fillId="13" borderId="0" xfId="0" applyNumberFormat="1" applyFont="1" applyFill="1" applyBorder="1" applyAlignment="1" applyProtection="1">
      <alignment horizontal="center" vertical="center" wrapText="1"/>
    </xf>
    <xf numFmtId="3" fontId="32" fillId="13" borderId="8" xfId="0" applyNumberFormat="1" applyFont="1" applyFill="1" applyBorder="1" applyAlignment="1" applyProtection="1">
      <alignment horizontal="center" vertical="center" wrapText="1"/>
    </xf>
    <xf numFmtId="3" fontId="32" fillId="13" borderId="9" xfId="0" applyNumberFormat="1" applyFont="1" applyFill="1" applyBorder="1" applyAlignment="1" applyProtection="1">
      <alignment horizontal="center" vertical="center" wrapText="1"/>
    </xf>
    <xf numFmtId="0" fontId="32" fillId="13" borderId="2" xfId="0" applyFont="1" applyFill="1" applyBorder="1" applyAlignment="1" applyProtection="1">
      <alignment horizontal="left"/>
    </xf>
    <xf numFmtId="0" fontId="32" fillId="13" borderId="1" xfId="0" applyFont="1" applyFill="1" applyBorder="1" applyAlignment="1" applyProtection="1">
      <alignment horizontal="left"/>
    </xf>
    <xf numFmtId="3" fontId="17" fillId="5" borderId="28" xfId="0" applyNumberFormat="1" applyFont="1" applyFill="1" applyBorder="1" applyAlignment="1" applyProtection="1">
      <alignment horizontal="center"/>
    </xf>
    <xf numFmtId="3" fontId="17" fillId="5" borderId="4" xfId="0" applyNumberFormat="1" applyFont="1" applyFill="1" applyBorder="1" applyAlignment="1" applyProtection="1">
      <alignment horizontal="center"/>
    </xf>
    <xf numFmtId="3" fontId="17" fillId="5" borderId="5" xfId="0" applyNumberFormat="1" applyFont="1" applyFill="1" applyBorder="1" applyAlignment="1" applyProtection="1">
      <alignment horizontal="center"/>
    </xf>
    <xf numFmtId="10" fontId="32" fillId="13" borderId="1" xfId="4" applyNumberFormat="1" applyFont="1" applyFill="1" applyBorder="1" applyAlignment="1" applyProtection="1">
      <alignment horizontal="center" vertical="center" wrapText="1"/>
    </xf>
    <xf numFmtId="10" fontId="32" fillId="13" borderId="0" xfId="4" applyNumberFormat="1" applyFont="1" applyFill="1" applyBorder="1" applyAlignment="1" applyProtection="1">
      <alignment horizontal="center" vertical="center" wrapText="1"/>
    </xf>
    <xf numFmtId="0" fontId="39" fillId="5" borderId="2" xfId="0" applyFont="1" applyFill="1" applyBorder="1" applyAlignment="1" applyProtection="1">
      <alignment horizontal="justify" vertical="center" wrapText="1" shrinkToFit="1" readingOrder="1"/>
    </xf>
    <xf numFmtId="0" fontId="39" fillId="5" borderId="1" xfId="0" applyFont="1" applyFill="1" applyBorder="1" applyAlignment="1" applyProtection="1">
      <alignment horizontal="justify" vertical="center" wrapText="1" shrinkToFit="1" readingOrder="1"/>
    </xf>
    <xf numFmtId="0" fontId="39" fillId="5" borderId="8" xfId="0" applyFont="1" applyFill="1" applyBorder="1" applyAlignment="1" applyProtection="1">
      <alignment horizontal="justify" vertical="center" wrapText="1" shrinkToFit="1" readingOrder="1"/>
    </xf>
    <xf numFmtId="0" fontId="39" fillId="5" borderId="3" xfId="0" applyFont="1" applyFill="1" applyBorder="1" applyAlignment="1" applyProtection="1">
      <alignment horizontal="justify" vertical="center" wrapText="1" shrinkToFit="1" readingOrder="1"/>
    </xf>
    <xf numFmtId="0" fontId="39" fillId="5" borderId="0" xfId="0" applyFont="1" applyFill="1" applyBorder="1" applyAlignment="1" applyProtection="1">
      <alignment horizontal="justify" vertical="center" wrapText="1" shrinkToFit="1" readingOrder="1"/>
    </xf>
    <xf numFmtId="0" fontId="39" fillId="5" borderId="9" xfId="0" applyFont="1" applyFill="1" applyBorder="1" applyAlignment="1" applyProtection="1">
      <alignment horizontal="justify" vertical="center" wrapText="1" shrinkToFit="1" readingOrder="1"/>
    </xf>
    <xf numFmtId="0" fontId="39" fillId="5" borderId="10" xfId="0" applyFont="1" applyFill="1" applyBorder="1" applyAlignment="1" applyProtection="1">
      <alignment horizontal="justify" vertical="center" wrapText="1" shrinkToFit="1" readingOrder="1"/>
    </xf>
    <xf numFmtId="0" fontId="39" fillId="5" borderId="11" xfId="0" applyFont="1" applyFill="1" applyBorder="1" applyAlignment="1" applyProtection="1">
      <alignment horizontal="justify" vertical="center" wrapText="1" shrinkToFit="1" readingOrder="1"/>
    </xf>
    <xf numFmtId="0" fontId="39" fillId="5" borderId="21" xfId="0" applyFont="1" applyFill="1" applyBorder="1" applyAlignment="1" applyProtection="1">
      <alignment horizontal="justify" vertical="center" wrapText="1" shrinkToFit="1" readingOrder="1"/>
    </xf>
    <xf numFmtId="10" fontId="32" fillId="13" borderId="10" xfId="0" applyNumberFormat="1" applyFont="1" applyFill="1" applyBorder="1" applyAlignment="1" applyProtection="1">
      <alignment horizontal="center"/>
    </xf>
    <xf numFmtId="10" fontId="32" fillId="13" borderId="11" xfId="0" applyNumberFormat="1" applyFont="1" applyFill="1" applyBorder="1" applyAlignment="1" applyProtection="1">
      <alignment horizontal="center"/>
    </xf>
    <xf numFmtId="10" fontId="32" fillId="13" borderId="21" xfId="0" applyNumberFormat="1" applyFont="1" applyFill="1" applyBorder="1" applyAlignment="1" applyProtection="1">
      <alignment horizontal="center"/>
    </xf>
    <xf numFmtId="0" fontId="32" fillId="14" borderId="3" xfId="0" applyFont="1" applyFill="1" applyBorder="1" applyAlignment="1" applyProtection="1">
      <alignment horizontal="left"/>
    </xf>
    <xf numFmtId="0" fontId="32" fillId="14" borderId="0" xfId="0" applyFont="1" applyFill="1" applyBorder="1" applyAlignment="1" applyProtection="1">
      <alignment horizontal="left"/>
    </xf>
    <xf numFmtId="0" fontId="32" fillId="13" borderId="10" xfId="0" applyFont="1" applyFill="1" applyBorder="1" applyAlignment="1" applyProtection="1">
      <alignment horizontal="left"/>
    </xf>
    <xf numFmtId="0" fontId="32" fillId="13" borderId="11" xfId="0" applyFont="1" applyFill="1" applyBorder="1" applyAlignment="1" applyProtection="1">
      <alignment horizontal="left"/>
    </xf>
    <xf numFmtId="0" fontId="32" fillId="14" borderId="2" xfId="0" applyFont="1" applyFill="1" applyBorder="1" applyAlignment="1" applyProtection="1">
      <alignment horizontal="left"/>
    </xf>
    <xf numFmtId="0" fontId="32" fillId="14" borderId="1" xfId="0" applyFont="1" applyFill="1" applyBorder="1" applyAlignment="1" applyProtection="1">
      <alignment horizontal="left"/>
    </xf>
    <xf numFmtId="0" fontId="32" fillId="14" borderId="10" xfId="0" applyFont="1" applyFill="1" applyBorder="1" applyAlignment="1" applyProtection="1">
      <alignment horizontal="left"/>
    </xf>
    <xf numFmtId="0" fontId="32" fillId="14" borderId="11" xfId="0" applyFont="1" applyFill="1" applyBorder="1" applyAlignment="1" applyProtection="1">
      <alignment horizontal="left"/>
    </xf>
    <xf numFmtId="10" fontId="5" fillId="5" borderId="17" xfId="0" applyNumberFormat="1" applyFont="1" applyFill="1" applyBorder="1" applyAlignment="1" applyProtection="1">
      <alignment horizontal="center" vertical="top" wrapText="1"/>
    </xf>
    <xf numFmtId="0" fontId="0" fillId="5" borderId="14" xfId="0" applyFill="1" applyBorder="1" applyAlignment="1" applyProtection="1">
      <alignment horizontal="center" vertical="top" wrapText="1"/>
    </xf>
    <xf numFmtId="3" fontId="5" fillId="5" borderId="17" xfId="0" applyNumberFormat="1" applyFont="1" applyFill="1" applyBorder="1" applyAlignment="1" applyProtection="1">
      <alignment horizontal="center" vertical="top" wrapText="1"/>
    </xf>
    <xf numFmtId="0" fontId="0" fillId="5" borderId="22" xfId="0" applyFill="1" applyBorder="1" applyAlignment="1" applyProtection="1">
      <alignment horizontal="center" vertical="top" wrapText="1"/>
    </xf>
    <xf numFmtId="3" fontId="1" fillId="5" borderId="1" xfId="0" applyNumberFormat="1" applyFont="1" applyFill="1" applyBorder="1" applyAlignment="1" applyProtection="1">
      <alignment horizontal="center" vertical="top" wrapText="1"/>
    </xf>
    <xf numFmtId="3" fontId="1" fillId="5" borderId="11" xfId="0" applyNumberFormat="1" applyFont="1" applyFill="1" applyBorder="1" applyAlignment="1" applyProtection="1">
      <alignment horizontal="center" vertical="top" wrapText="1"/>
    </xf>
    <xf numFmtId="10" fontId="5" fillId="5" borderId="14" xfId="0" applyNumberFormat="1" applyFont="1" applyFill="1" applyBorder="1" applyAlignment="1" applyProtection="1">
      <alignment horizontal="center" vertical="top" wrapText="1"/>
    </xf>
    <xf numFmtId="3" fontId="1" fillId="5" borderId="17" xfId="0" applyNumberFormat="1" applyFont="1" applyFill="1" applyBorder="1" applyAlignment="1" applyProtection="1">
      <alignment horizontal="center" vertical="top" wrapText="1"/>
    </xf>
    <xf numFmtId="10" fontId="5" fillId="5" borderId="22" xfId="0" applyNumberFormat="1" applyFont="1" applyFill="1" applyBorder="1" applyAlignment="1" applyProtection="1">
      <alignment horizontal="center" vertical="top" wrapText="1"/>
    </xf>
    <xf numFmtId="10" fontId="4" fillId="5" borderId="12" xfId="0" applyNumberFormat="1" applyFont="1" applyFill="1" applyBorder="1" applyAlignment="1" applyProtection="1">
      <alignment horizontal="center"/>
    </xf>
    <xf numFmtId="10" fontId="4" fillId="5" borderId="6" xfId="0" applyNumberFormat="1" applyFont="1" applyFill="1" applyBorder="1" applyAlignment="1" applyProtection="1">
      <alignment horizontal="center"/>
    </xf>
    <xf numFmtId="0" fontId="18" fillId="5" borderId="6" xfId="0" applyFont="1" applyFill="1" applyBorder="1" applyAlignment="1" applyProtection="1">
      <alignment horizontal="center"/>
    </xf>
    <xf numFmtId="10" fontId="5" fillId="5" borderId="28" xfId="0" applyNumberFormat="1" applyFont="1" applyFill="1" applyBorder="1" applyAlignment="1" applyProtection="1">
      <alignment horizontal="center"/>
    </xf>
    <xf numFmtId="10" fontId="5" fillId="5" borderId="4" xfId="0" applyNumberFormat="1" applyFont="1" applyFill="1" applyBorder="1" applyAlignment="1" applyProtection="1">
      <alignment horizontal="center"/>
    </xf>
    <xf numFmtId="10" fontId="5" fillId="5" borderId="5" xfId="0" applyNumberFormat="1" applyFont="1" applyFill="1" applyBorder="1" applyAlignment="1" applyProtection="1">
      <alignment horizontal="center"/>
    </xf>
    <xf numFmtId="10" fontId="3" fillId="5" borderId="12" xfId="4" applyNumberFormat="1" applyFont="1" applyFill="1" applyBorder="1" applyAlignment="1" applyProtection="1">
      <alignment horizontal="center" vertical="top" wrapText="1"/>
    </xf>
    <xf numFmtId="0" fontId="0" fillId="5" borderId="29" xfId="0" applyFill="1" applyBorder="1" applyAlignment="1" applyProtection="1">
      <alignment horizontal="center" vertical="top" wrapText="1"/>
    </xf>
    <xf numFmtId="10" fontId="3" fillId="5" borderId="40" xfId="4" applyNumberFormat="1" applyFont="1" applyFill="1" applyBorder="1" applyAlignment="1" applyProtection="1">
      <alignment horizontal="center" vertical="top" wrapText="1"/>
    </xf>
    <xf numFmtId="10" fontId="3" fillId="5" borderId="41" xfId="4" applyNumberFormat="1" applyFont="1" applyFill="1" applyBorder="1" applyAlignment="1" applyProtection="1">
      <alignment horizontal="center" vertical="top" wrapText="1"/>
    </xf>
    <xf numFmtId="0" fontId="38" fillId="0" borderId="0" xfId="0" applyFont="1" applyFill="1" applyBorder="1" applyAlignment="1" applyProtection="1">
      <alignment horizontal="center" wrapText="1"/>
    </xf>
    <xf numFmtId="10" fontId="3" fillId="5" borderId="42" xfId="4" applyNumberFormat="1" applyFont="1" applyFill="1" applyBorder="1" applyAlignment="1" applyProtection="1">
      <alignment horizontal="center" vertical="top" wrapText="1"/>
    </xf>
    <xf numFmtId="10" fontId="5" fillId="5" borderId="12" xfId="0" applyNumberFormat="1" applyFont="1" applyFill="1" applyBorder="1" applyAlignment="1" applyProtection="1">
      <alignment horizontal="center"/>
    </xf>
    <xf numFmtId="10" fontId="5" fillId="5" borderId="6" xfId="0" applyNumberFormat="1" applyFont="1" applyFill="1" applyBorder="1" applyAlignment="1" applyProtection="1">
      <alignment horizontal="center"/>
    </xf>
    <xf numFmtId="10" fontId="5" fillId="5" borderId="7" xfId="0" applyNumberFormat="1" applyFont="1" applyFill="1" applyBorder="1" applyAlignment="1" applyProtection="1">
      <alignment horizontal="center"/>
    </xf>
    <xf numFmtId="3" fontId="1" fillId="5" borderId="0" xfId="0" applyNumberFormat="1" applyFont="1" applyFill="1" applyBorder="1" applyAlignment="1" applyProtection="1">
      <alignment horizontal="center" vertical="top" wrapText="1"/>
    </xf>
    <xf numFmtId="3" fontId="1" fillId="5" borderId="16" xfId="0" applyNumberFormat="1" applyFont="1" applyFill="1" applyBorder="1" applyAlignment="1" applyProtection="1">
      <alignment horizontal="center" vertical="top" wrapText="1"/>
    </xf>
    <xf numFmtId="0" fontId="0" fillId="5" borderId="15" xfId="0" applyFill="1" applyBorder="1" applyAlignment="1" applyProtection="1">
      <alignment horizontal="center" vertical="top" wrapText="1"/>
    </xf>
    <xf numFmtId="10" fontId="5" fillId="5" borderId="7" xfId="0" applyNumberFormat="1" applyFont="1" applyFill="1" applyBorder="1" applyAlignment="1" applyProtection="1">
      <alignment horizontal="center" vertical="top" wrapText="1"/>
    </xf>
    <xf numFmtId="0" fontId="0" fillId="5" borderId="16" xfId="0" applyFill="1" applyBorder="1" applyAlignment="1" applyProtection="1">
      <alignment horizontal="center" vertical="top" wrapText="1"/>
    </xf>
  </cellXfs>
  <cellStyles count="5">
    <cellStyle name="Millares" xfId="1" builtinId="3"/>
    <cellStyle name="Moneda" xfId="2" builtinId="4"/>
    <cellStyle name="Normal" xfId="0" builtinId="0"/>
    <cellStyle name="Normal 2"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290512</xdr:colOff>
      <xdr:row>0</xdr:row>
      <xdr:rowOff>371475</xdr:rowOff>
    </xdr:from>
    <xdr:to>
      <xdr:col>4</xdr:col>
      <xdr:colOff>2380</xdr:colOff>
      <xdr:row>4</xdr:row>
      <xdr:rowOff>76200</xdr:rowOff>
    </xdr:to>
    <xdr:pic>
      <xdr:nvPicPr>
        <xdr:cNvPr id="13362"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387" y="371475"/>
          <a:ext cx="2402681"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808466</xdr:colOff>
      <xdr:row>0</xdr:row>
      <xdr:rowOff>452438</xdr:rowOff>
    </xdr:from>
    <xdr:to>
      <xdr:col>18</xdr:col>
      <xdr:colOff>186200</xdr:colOff>
      <xdr:row>3</xdr:row>
      <xdr:rowOff>226220</xdr:rowOff>
    </xdr:to>
    <xdr:pic>
      <xdr:nvPicPr>
        <xdr:cNvPr id="4" name="2 Imagen" descr="logo mutual 17 de Ener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33216" y="452438"/>
          <a:ext cx="3830672" cy="726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571500</xdr:colOff>
      <xdr:row>0</xdr:row>
      <xdr:rowOff>228600</xdr:rowOff>
    </xdr:from>
    <xdr:to>
      <xdr:col>7</xdr:col>
      <xdr:colOff>47625</xdr:colOff>
      <xdr:row>3</xdr:row>
      <xdr:rowOff>171450</xdr:rowOff>
    </xdr:to>
    <xdr:pic>
      <xdr:nvPicPr>
        <xdr:cNvPr id="11924"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228600"/>
          <a:ext cx="2409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361188</xdr:colOff>
      <xdr:row>0</xdr:row>
      <xdr:rowOff>333375</xdr:rowOff>
    </xdr:from>
    <xdr:to>
      <xdr:col>18</xdr:col>
      <xdr:colOff>150200</xdr:colOff>
      <xdr:row>3</xdr:row>
      <xdr:rowOff>135731</xdr:rowOff>
    </xdr:to>
    <xdr:pic>
      <xdr:nvPicPr>
        <xdr:cNvPr id="4" name="2 Imagen" descr="logo mutual 17 de Ener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71938" y="333375"/>
          <a:ext cx="4277668" cy="754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68"/>
  <sheetViews>
    <sheetView tabSelected="1" zoomScale="80" zoomScaleNormal="80" workbookViewId="0">
      <selection activeCell="D13" sqref="D13"/>
    </sheetView>
  </sheetViews>
  <sheetFormatPr baseColWidth="10" defaultRowHeight="15" x14ac:dyDescent="0.25"/>
  <cols>
    <col min="1" max="1" width="2.140625" style="22" customWidth="1"/>
    <col min="2" max="2" width="15.28515625" style="180" customWidth="1"/>
    <col min="3" max="3" width="10.42578125" style="183" customWidth="1"/>
    <col min="4" max="4" width="14.7109375" style="22" customWidth="1"/>
    <col min="5" max="5" width="3.42578125" style="22" customWidth="1"/>
    <col min="6" max="7" width="12.140625" style="22" hidden="1" customWidth="1"/>
    <col min="8" max="8" width="12.140625" style="22" customWidth="1"/>
    <col min="9" max="9" width="13.85546875" style="22" bestFit="1" customWidth="1"/>
    <col min="10" max="10" width="12.42578125" style="22" customWidth="1"/>
    <col min="11" max="11" width="13.5703125" style="22" bestFit="1" customWidth="1"/>
    <col min="12" max="12" width="14.85546875" style="22" customWidth="1"/>
    <col min="13" max="13" width="15" style="22" bestFit="1" customWidth="1"/>
    <col min="14" max="14" width="17" style="22" hidden="1" customWidth="1"/>
    <col min="15" max="15" width="11.42578125" style="22" bestFit="1" customWidth="1"/>
    <col min="16" max="16" width="17.42578125" style="22" customWidth="1"/>
    <col min="17" max="17" width="10.85546875" style="22" customWidth="1"/>
    <col min="18" max="18" width="12" style="22" customWidth="1"/>
    <col min="19" max="19" width="3.140625" style="22" customWidth="1"/>
    <col min="20" max="20" width="4.140625" style="20" customWidth="1"/>
    <col min="21" max="21" width="12" style="20" bestFit="1" customWidth="1"/>
    <col min="22" max="22" width="12.5703125" style="20" customWidth="1"/>
    <col min="23" max="23" width="16.7109375" style="21" customWidth="1"/>
    <col min="24" max="24" width="14.7109375" style="21" bestFit="1" customWidth="1"/>
    <col min="25" max="25" width="13.42578125" style="22" bestFit="1" customWidth="1"/>
    <col min="26" max="26" width="9.28515625" style="22" bestFit="1" customWidth="1"/>
    <col min="27" max="27" width="16" style="22" bestFit="1" customWidth="1"/>
    <col min="28" max="28" width="12" style="22" bestFit="1" customWidth="1"/>
    <col min="29" max="29" width="13.42578125" style="22" bestFit="1" customWidth="1"/>
    <col min="30" max="30" width="8.85546875" style="22" bestFit="1" customWidth="1"/>
    <col min="31" max="31" width="14.7109375" style="22" bestFit="1" customWidth="1"/>
    <col min="32" max="32" width="13.7109375" style="22" bestFit="1" customWidth="1"/>
    <col min="33" max="33" width="13.28515625" style="22" customWidth="1"/>
    <col min="34" max="34" width="16" style="22" bestFit="1" customWidth="1"/>
    <col min="35" max="35" width="11.42578125" style="22" customWidth="1"/>
    <col min="36" max="16384" width="11.42578125" style="22"/>
  </cols>
  <sheetData>
    <row r="1" spans="1:22" ht="37.5" customHeight="1" x14ac:dyDescent="0.45">
      <c r="A1" s="17"/>
      <c r="B1" s="18"/>
      <c r="C1" s="19"/>
      <c r="D1" s="17"/>
      <c r="E1" s="17"/>
      <c r="F1" s="17"/>
      <c r="G1" s="17"/>
      <c r="H1" s="255" t="s">
        <v>65</v>
      </c>
      <c r="I1" s="255"/>
      <c r="J1" s="255"/>
      <c r="K1" s="255"/>
      <c r="L1" s="255"/>
      <c r="M1" s="255"/>
      <c r="N1" s="17"/>
      <c r="O1" s="17"/>
      <c r="P1" s="17"/>
      <c r="Q1" s="17"/>
      <c r="R1" s="17"/>
      <c r="S1" s="17"/>
    </row>
    <row r="2" spans="1:22" ht="18.75" x14ac:dyDescent="0.3">
      <c r="A2" s="17"/>
      <c r="B2" s="18"/>
      <c r="C2" s="19"/>
      <c r="D2" s="17"/>
      <c r="E2" s="17"/>
      <c r="F2" s="17"/>
      <c r="G2" s="17"/>
      <c r="H2" s="248" t="s">
        <v>67</v>
      </c>
      <c r="I2" s="248"/>
      <c r="J2" s="248"/>
      <c r="K2" s="248"/>
      <c r="L2" s="248"/>
      <c r="M2" s="248"/>
      <c r="N2" s="17"/>
      <c r="O2" s="17"/>
      <c r="P2" s="17"/>
      <c r="Q2" s="23"/>
      <c r="R2" s="24"/>
      <c r="S2" s="24"/>
    </row>
    <row r="3" spans="1:22" ht="18.75" customHeight="1" x14ac:dyDescent="0.3">
      <c r="A3" s="17"/>
      <c r="B3" s="18"/>
      <c r="C3" s="19"/>
      <c r="D3" s="17"/>
      <c r="E3" s="17"/>
      <c r="F3" s="17"/>
      <c r="G3" s="17"/>
      <c r="H3" s="248" t="s">
        <v>34</v>
      </c>
      <c r="I3" s="248"/>
      <c r="J3" s="248"/>
      <c r="K3" s="248"/>
      <c r="L3" s="248"/>
      <c r="M3" s="248"/>
      <c r="N3" s="17"/>
      <c r="O3" s="17"/>
      <c r="P3" s="17"/>
      <c r="Q3" s="25"/>
      <c r="R3" s="17"/>
      <c r="S3" s="17"/>
    </row>
    <row r="4" spans="1:22" ht="18.75" customHeight="1" x14ac:dyDescent="0.3">
      <c r="A4" s="17"/>
      <c r="B4" s="18"/>
      <c r="C4" s="19"/>
      <c r="D4" s="17"/>
      <c r="E4" s="17"/>
      <c r="F4" s="17"/>
      <c r="G4" s="17"/>
      <c r="H4" s="26"/>
      <c r="I4" s="26"/>
      <c r="J4" s="26"/>
      <c r="K4" s="26"/>
      <c r="L4" s="26"/>
      <c r="M4" s="26"/>
      <c r="N4" s="17"/>
      <c r="O4" s="17"/>
      <c r="P4" s="17"/>
      <c r="Q4" s="25"/>
      <c r="R4" s="17"/>
      <c r="S4" s="17"/>
    </row>
    <row r="5" spans="1:22" ht="15.75" x14ac:dyDescent="0.25">
      <c r="A5" s="17"/>
      <c r="B5" s="18"/>
      <c r="C5" s="19"/>
      <c r="D5" s="17"/>
      <c r="E5" s="17"/>
      <c r="F5" s="17"/>
      <c r="G5" s="17"/>
      <c r="H5" s="27"/>
      <c r="I5" s="27"/>
      <c r="J5" s="27"/>
      <c r="K5" s="27"/>
      <c r="L5" s="27"/>
      <c r="M5" s="27"/>
      <c r="N5" s="17"/>
      <c r="O5" s="17"/>
      <c r="P5" s="17"/>
      <c r="Q5" s="25"/>
      <c r="R5" s="17"/>
      <c r="S5" s="17"/>
    </row>
    <row r="6" spans="1:22" ht="15" customHeight="1" x14ac:dyDescent="0.25">
      <c r="A6" s="17"/>
      <c r="B6" s="18"/>
      <c r="C6" s="19"/>
      <c r="D6" s="17"/>
      <c r="E6" s="17"/>
      <c r="F6" s="17"/>
      <c r="G6" s="17"/>
      <c r="H6" s="249" t="s">
        <v>27</v>
      </c>
      <c r="I6" s="250"/>
      <c r="J6" s="250"/>
      <c r="K6" s="250"/>
      <c r="L6" s="250"/>
      <c r="M6" s="251"/>
      <c r="N6" s="17"/>
      <c r="O6" s="17"/>
      <c r="P6" s="17"/>
      <c r="Q6" s="25"/>
      <c r="R6" s="17"/>
      <c r="S6" s="17"/>
    </row>
    <row r="7" spans="1:22" ht="15.75" customHeight="1" x14ac:dyDescent="0.25">
      <c r="A7" s="17"/>
      <c r="B7" s="262" t="s">
        <v>40</v>
      </c>
      <c r="C7" s="263"/>
      <c r="D7" s="229">
        <f>+D35</f>
        <v>44042</v>
      </c>
      <c r="E7" s="28"/>
      <c r="F7" s="29"/>
      <c r="G7" s="17"/>
      <c r="H7" s="278" t="s">
        <v>50</v>
      </c>
      <c r="I7" s="279"/>
      <c r="J7" s="279"/>
      <c r="K7" s="279"/>
      <c r="L7" s="279"/>
      <c r="M7" s="280"/>
      <c r="N7" s="17"/>
      <c r="O7" s="30"/>
      <c r="P7" s="269" t="s">
        <v>51</v>
      </c>
      <c r="Q7" s="270"/>
      <c r="R7" s="271"/>
      <c r="S7" s="29"/>
    </row>
    <row r="8" spans="1:22" ht="15.75" customHeight="1" x14ac:dyDescent="0.25">
      <c r="A8" s="17"/>
      <c r="B8" s="256" t="s">
        <v>59</v>
      </c>
      <c r="C8" s="257"/>
      <c r="D8" s="230">
        <f>+D32</f>
        <v>44027</v>
      </c>
      <c r="E8" s="31"/>
      <c r="F8" s="29"/>
      <c r="G8" s="17"/>
      <c r="H8" s="252" t="s">
        <v>35</v>
      </c>
      <c r="I8" s="267" t="s">
        <v>45</v>
      </c>
      <c r="J8" s="258" t="s">
        <v>46</v>
      </c>
      <c r="K8" s="258" t="s">
        <v>47</v>
      </c>
      <c r="L8" s="258" t="s">
        <v>49</v>
      </c>
      <c r="M8" s="260" t="s">
        <v>48</v>
      </c>
      <c r="N8" s="17"/>
      <c r="O8" s="30"/>
      <c r="P8" s="272"/>
      <c r="Q8" s="273"/>
      <c r="R8" s="274"/>
      <c r="S8" s="29"/>
    </row>
    <row r="9" spans="1:22" ht="15.75" customHeight="1" x14ac:dyDescent="0.25">
      <c r="A9" s="17"/>
      <c r="B9" s="256" t="s">
        <v>28</v>
      </c>
      <c r="C9" s="257"/>
      <c r="D9" s="231">
        <v>139430093</v>
      </c>
      <c r="E9" s="31"/>
      <c r="F9" s="29"/>
      <c r="G9" s="17"/>
      <c r="H9" s="252"/>
      <c r="I9" s="268"/>
      <c r="J9" s="259"/>
      <c r="K9" s="259"/>
      <c r="L9" s="259"/>
      <c r="M9" s="261"/>
      <c r="N9" s="17"/>
      <c r="O9" s="30"/>
      <c r="P9" s="272"/>
      <c r="Q9" s="273"/>
      <c r="R9" s="274"/>
      <c r="S9" s="29"/>
    </row>
    <row r="10" spans="1:22" ht="15.75" customHeight="1" x14ac:dyDescent="0.25">
      <c r="A10" s="17"/>
      <c r="B10" s="256" t="s">
        <v>31</v>
      </c>
      <c r="C10" s="257"/>
      <c r="D10" s="232">
        <f>B31</f>
        <v>300</v>
      </c>
      <c r="E10" s="28"/>
      <c r="F10" s="33" t="s">
        <v>15</v>
      </c>
      <c r="G10" s="34" t="s">
        <v>26</v>
      </c>
      <c r="H10" s="35">
        <f>+D7</f>
        <v>44042</v>
      </c>
      <c r="I10" s="36"/>
      <c r="J10" s="36"/>
      <c r="K10" s="36"/>
      <c r="L10" s="36">
        <f>+D9</f>
        <v>139430093</v>
      </c>
      <c r="M10" s="37">
        <f>-L10*D17</f>
        <v>-141778343.90935683</v>
      </c>
      <c r="N10" s="38">
        <f>-SUM(N11:N21)</f>
        <v>-141778343.90935683</v>
      </c>
      <c r="O10" s="30"/>
      <c r="P10" s="272"/>
      <c r="Q10" s="273"/>
      <c r="R10" s="274"/>
      <c r="S10" s="29"/>
    </row>
    <row r="11" spans="1:22" ht="15.75" customHeight="1" x14ac:dyDescent="0.25">
      <c r="A11" s="17"/>
      <c r="B11" s="256" t="s">
        <v>29</v>
      </c>
      <c r="C11" s="257"/>
      <c r="D11" s="233">
        <f>C33</f>
        <v>0.3</v>
      </c>
      <c r="E11" s="31"/>
      <c r="F11" s="39">
        <f t="shared" ref="F11:F19" si="0">+(H11-$D$35)</f>
        <v>19</v>
      </c>
      <c r="G11" s="15">
        <v>30</v>
      </c>
      <c r="H11" s="40">
        <f t="shared" ref="H11:H18" si="1">+D36</f>
        <v>44061</v>
      </c>
      <c r="I11" s="41">
        <f>J11+K11</f>
        <v>17326368.782993153</v>
      </c>
      <c r="J11" s="41">
        <f t="shared" ref="J11:J19" si="2">+L36</f>
        <v>4172397.7829931513</v>
      </c>
      <c r="K11" s="41">
        <f t="shared" ref="K11:K19" si="3">+M36</f>
        <v>13153971</v>
      </c>
      <c r="L11" s="41">
        <f>IF((L10-K11)&lt;0,0,(L10-K11))</f>
        <v>126276122</v>
      </c>
      <c r="M11" s="42">
        <f t="shared" ref="M11:M19" si="4">J11+K11</f>
        <v>17326368.782993153</v>
      </c>
      <c r="N11" s="43">
        <f t="shared" ref="N11:N19" si="5">J36/(1+$D$14)^(F11/365)</f>
        <v>16799131.820677307</v>
      </c>
      <c r="O11" s="30"/>
      <c r="P11" s="272"/>
      <c r="Q11" s="273"/>
      <c r="R11" s="274"/>
      <c r="S11" s="29"/>
      <c r="V11" s="21"/>
    </row>
    <row r="12" spans="1:22" ht="15.75" customHeight="1" x14ac:dyDescent="0.25">
      <c r="A12" s="17"/>
      <c r="B12" s="256" t="s">
        <v>30</v>
      </c>
      <c r="C12" s="257"/>
      <c r="D12" s="233">
        <f>C34</f>
        <v>0.4</v>
      </c>
      <c r="E12" s="31"/>
      <c r="F12" s="39">
        <f t="shared" si="0"/>
        <v>50</v>
      </c>
      <c r="G12" s="15">
        <v>30</v>
      </c>
      <c r="H12" s="40">
        <f t="shared" si="1"/>
        <v>44092</v>
      </c>
      <c r="I12" s="44">
        <f t="shared" ref="I12:I19" si="6">J12+K12</f>
        <v>17379107.849226028</v>
      </c>
      <c r="J12" s="44">
        <f t="shared" si="2"/>
        <v>3445348.8492260282</v>
      </c>
      <c r="K12" s="44">
        <f t="shared" si="3"/>
        <v>13933759</v>
      </c>
      <c r="L12" s="44">
        <f t="shared" ref="L12:L19" si="7">IF((L11-K12)&lt;0,0,(L11-K12))</f>
        <v>112342363</v>
      </c>
      <c r="M12" s="32">
        <f t="shared" si="4"/>
        <v>17379107.849226028</v>
      </c>
      <c r="N12" s="43">
        <f t="shared" si="5"/>
        <v>16494101.382299162</v>
      </c>
      <c r="O12" s="30"/>
      <c r="P12" s="272"/>
      <c r="Q12" s="273"/>
      <c r="R12" s="274"/>
      <c r="S12" s="29"/>
      <c r="V12" s="21"/>
    </row>
    <row r="13" spans="1:22" ht="15.75" customHeight="1" x14ac:dyDescent="0.25">
      <c r="A13" s="17"/>
      <c r="B13" s="285" t="s">
        <v>44</v>
      </c>
      <c r="C13" s="286"/>
      <c r="D13" s="239">
        <v>0.29125000000000001</v>
      </c>
      <c r="E13" s="31"/>
      <c r="F13" s="39">
        <f t="shared" si="0"/>
        <v>81</v>
      </c>
      <c r="G13" s="15">
        <v>30</v>
      </c>
      <c r="H13" s="40">
        <f t="shared" si="1"/>
        <v>44123</v>
      </c>
      <c r="I13" s="41">
        <f t="shared" si="6"/>
        <v>16963983.732948631</v>
      </c>
      <c r="J13" s="41">
        <f t="shared" si="2"/>
        <v>3065176.7329486306</v>
      </c>
      <c r="K13" s="41">
        <f t="shared" si="3"/>
        <v>13898807</v>
      </c>
      <c r="L13" s="41">
        <f t="shared" si="7"/>
        <v>98443556</v>
      </c>
      <c r="M13" s="42">
        <f t="shared" si="4"/>
        <v>16963983.732948631</v>
      </c>
      <c r="N13" s="43">
        <f t="shared" si="5"/>
        <v>15733341.70326313</v>
      </c>
      <c r="O13" s="30"/>
      <c r="P13" s="272"/>
      <c r="Q13" s="273"/>
      <c r="R13" s="274"/>
      <c r="S13" s="29"/>
      <c r="V13" s="21"/>
    </row>
    <row r="14" spans="1:22" ht="15.75" customHeight="1" x14ac:dyDescent="0.25">
      <c r="A14" s="17"/>
      <c r="B14" s="281" t="s">
        <v>32</v>
      </c>
      <c r="C14" s="282"/>
      <c r="D14" s="240">
        <v>0.33</v>
      </c>
      <c r="E14" s="31"/>
      <c r="F14" s="39">
        <f t="shared" si="0"/>
        <v>111</v>
      </c>
      <c r="G14" s="15">
        <v>30</v>
      </c>
      <c r="H14" s="40">
        <f t="shared" si="1"/>
        <v>44153</v>
      </c>
      <c r="I14" s="44">
        <f t="shared" si="6"/>
        <v>16438021.440958904</v>
      </c>
      <c r="J14" s="44">
        <f t="shared" si="2"/>
        <v>2599314.4409589041</v>
      </c>
      <c r="K14" s="44">
        <f t="shared" si="3"/>
        <v>13838707</v>
      </c>
      <c r="L14" s="44">
        <f t="shared" si="7"/>
        <v>84604849</v>
      </c>
      <c r="M14" s="32">
        <f t="shared" si="4"/>
        <v>16438021.440958904</v>
      </c>
      <c r="N14" s="43">
        <f t="shared" si="5"/>
        <v>14914836.115320735</v>
      </c>
      <c r="O14" s="30"/>
      <c r="P14" s="272"/>
      <c r="Q14" s="273"/>
      <c r="R14" s="274"/>
      <c r="S14" s="29"/>
      <c r="V14" s="21"/>
    </row>
    <row r="15" spans="1:22" ht="15.75" customHeight="1" x14ac:dyDescent="0.25">
      <c r="A15" s="17"/>
      <c r="B15" s="287" t="s">
        <v>37</v>
      </c>
      <c r="C15" s="288" t="s">
        <v>36</v>
      </c>
      <c r="D15" s="241">
        <v>139430093</v>
      </c>
      <c r="E15" s="31"/>
      <c r="F15" s="39">
        <f t="shared" si="0"/>
        <v>141</v>
      </c>
      <c r="G15" s="15">
        <v>30</v>
      </c>
      <c r="H15" s="40">
        <f t="shared" si="1"/>
        <v>44183</v>
      </c>
      <c r="I15" s="41">
        <f t="shared" si="6"/>
        <v>15749989.704760274</v>
      </c>
      <c r="J15" s="41">
        <f t="shared" si="2"/>
        <v>2233915.7047602744</v>
      </c>
      <c r="K15" s="41">
        <f t="shared" si="3"/>
        <v>13516074</v>
      </c>
      <c r="L15" s="41">
        <f t="shared" si="7"/>
        <v>71088775</v>
      </c>
      <c r="M15" s="42">
        <f t="shared" si="4"/>
        <v>15749989.704760274</v>
      </c>
      <c r="N15" s="43">
        <f t="shared" si="5"/>
        <v>13974695.918968316</v>
      </c>
      <c r="O15" s="30"/>
      <c r="P15" s="272"/>
      <c r="Q15" s="273"/>
      <c r="R15" s="274"/>
      <c r="S15" s="29"/>
      <c r="V15" s="21"/>
    </row>
    <row r="16" spans="1:22" ht="15.75" customHeight="1" x14ac:dyDescent="0.25">
      <c r="A16" s="17"/>
      <c r="B16" s="256" t="s">
        <v>41</v>
      </c>
      <c r="C16" s="257"/>
      <c r="D16" s="234">
        <f>+D15*D17</f>
        <v>141778343.90935683</v>
      </c>
      <c r="E16" s="31"/>
      <c r="F16" s="39">
        <f t="shared" si="0"/>
        <v>172</v>
      </c>
      <c r="G16" s="15">
        <v>30</v>
      </c>
      <c r="H16" s="40">
        <f t="shared" si="1"/>
        <v>44214</v>
      </c>
      <c r="I16" s="44">
        <f t="shared" si="6"/>
        <v>15084620.665839041</v>
      </c>
      <c r="J16" s="44">
        <f t="shared" si="2"/>
        <v>1939603.6658390414</v>
      </c>
      <c r="K16" s="44">
        <f t="shared" si="3"/>
        <v>13145017</v>
      </c>
      <c r="L16" s="44">
        <f t="shared" si="7"/>
        <v>57943758</v>
      </c>
      <c r="M16" s="32">
        <f t="shared" si="4"/>
        <v>15084620.665839041</v>
      </c>
      <c r="N16" s="43">
        <f t="shared" si="5"/>
        <v>13075604.728859413</v>
      </c>
      <c r="O16" s="30"/>
      <c r="P16" s="272"/>
      <c r="Q16" s="273"/>
      <c r="R16" s="274"/>
      <c r="S16" s="29"/>
      <c r="V16" s="21"/>
    </row>
    <row r="17" spans="1:34" ht="15.75" customHeight="1" x14ac:dyDescent="0.25">
      <c r="A17" s="17"/>
      <c r="B17" s="256" t="s">
        <v>52</v>
      </c>
      <c r="C17" s="257"/>
      <c r="D17" s="235">
        <f>$N$10/$J$35</f>
        <v>1.0168417796964162</v>
      </c>
      <c r="E17" s="31"/>
      <c r="F17" s="39">
        <f t="shared" si="0"/>
        <v>203</v>
      </c>
      <c r="G17" s="15">
        <v>30</v>
      </c>
      <c r="H17" s="40">
        <f t="shared" si="1"/>
        <v>44245</v>
      </c>
      <c r="I17" s="41">
        <f t="shared" si="6"/>
        <v>14405133.780773973</v>
      </c>
      <c r="J17" s="41">
        <f t="shared" si="2"/>
        <v>1580951.7807739729</v>
      </c>
      <c r="K17" s="41">
        <f t="shared" si="3"/>
        <v>12824182</v>
      </c>
      <c r="L17" s="41">
        <f t="shared" si="7"/>
        <v>45119576</v>
      </c>
      <c r="M17" s="42">
        <f t="shared" si="4"/>
        <v>14405133.780773973</v>
      </c>
      <c r="N17" s="43">
        <f t="shared" si="5"/>
        <v>12203125.615819488</v>
      </c>
      <c r="O17" s="30"/>
      <c r="P17" s="272"/>
      <c r="Q17" s="273"/>
      <c r="R17" s="274"/>
      <c r="S17" s="29"/>
      <c r="V17" s="21"/>
    </row>
    <row r="18" spans="1:34" ht="15.75" customHeight="1" x14ac:dyDescent="0.25">
      <c r="A18" s="17"/>
      <c r="B18" s="256" t="s">
        <v>42</v>
      </c>
      <c r="C18" s="257"/>
      <c r="D18" s="231">
        <f>-J35*D17</f>
        <v>141778343.90935683</v>
      </c>
      <c r="E18" s="31"/>
      <c r="F18" s="39">
        <f t="shared" si="0"/>
        <v>231</v>
      </c>
      <c r="G18" s="15">
        <v>30</v>
      </c>
      <c r="H18" s="40">
        <f t="shared" si="1"/>
        <v>44273</v>
      </c>
      <c r="I18" s="44">
        <f t="shared" si="6"/>
        <v>13924331.414027397</v>
      </c>
      <c r="J18" s="44">
        <f t="shared" si="2"/>
        <v>1111919.4140273975</v>
      </c>
      <c r="K18" s="44">
        <f t="shared" si="3"/>
        <v>12812412</v>
      </c>
      <c r="L18" s="44">
        <f t="shared" si="7"/>
        <v>32307164</v>
      </c>
      <c r="M18" s="32">
        <f t="shared" si="4"/>
        <v>13924331.414027397</v>
      </c>
      <c r="N18" s="43">
        <f t="shared" si="5"/>
        <v>11563556.103527287</v>
      </c>
      <c r="O18" s="30"/>
      <c r="P18" s="272"/>
      <c r="Q18" s="273"/>
      <c r="R18" s="274"/>
      <c r="S18" s="29"/>
      <c r="V18" s="21"/>
    </row>
    <row r="19" spans="1:34" ht="15.75" customHeight="1" x14ac:dyDescent="0.25">
      <c r="A19" s="17"/>
      <c r="B19" s="256" t="s">
        <v>33</v>
      </c>
      <c r="C19" s="257"/>
      <c r="D19" s="233">
        <f>IF(+(D13+(D10/10000))&gt;D12,D12,IF(+D13+(D10/10000)&lt;D11,D11,(+D13+(D10/10000))))</f>
        <v>0.32125000000000004</v>
      </c>
      <c r="E19" s="31"/>
      <c r="F19" s="39">
        <f t="shared" si="0"/>
        <v>263</v>
      </c>
      <c r="G19" s="15">
        <v>30</v>
      </c>
      <c r="H19" s="40">
        <f>+D44</f>
        <v>44305</v>
      </c>
      <c r="I19" s="41">
        <f t="shared" si="6"/>
        <v>12756206.358684931</v>
      </c>
      <c r="J19" s="41">
        <f t="shared" si="2"/>
        <v>909911.35868493153</v>
      </c>
      <c r="K19" s="41">
        <f t="shared" si="3"/>
        <v>11846295</v>
      </c>
      <c r="L19" s="41">
        <f t="shared" si="7"/>
        <v>20460869</v>
      </c>
      <c r="M19" s="42">
        <f t="shared" si="4"/>
        <v>12756206.358684931</v>
      </c>
      <c r="N19" s="43">
        <f t="shared" si="5"/>
        <v>10337760.919728696</v>
      </c>
      <c r="O19" s="30"/>
      <c r="P19" s="272"/>
      <c r="Q19" s="273"/>
      <c r="R19" s="274"/>
      <c r="S19" s="29"/>
      <c r="V19" s="21"/>
    </row>
    <row r="20" spans="1:34" ht="15.75" customHeight="1" x14ac:dyDescent="0.25">
      <c r="A20" s="17"/>
      <c r="B20" s="256" t="s">
        <v>38</v>
      </c>
      <c r="C20" s="257"/>
      <c r="D20" s="236">
        <f>XIRR(M10:M21,H10:H21,)</f>
        <v>0.36056068539619446</v>
      </c>
      <c r="E20" s="31"/>
      <c r="F20" s="39">
        <f t="shared" ref="F20" si="8">+(H20-$D$35)</f>
        <v>292</v>
      </c>
      <c r="G20" s="15">
        <v>30</v>
      </c>
      <c r="H20" s="40">
        <f>+D45</f>
        <v>44334</v>
      </c>
      <c r="I20" s="41">
        <f t="shared" ref="I20" si="9">J20+K20</f>
        <v>11741634.659784246</v>
      </c>
      <c r="J20" s="41">
        <f t="shared" ref="J20" si="10">+L45</f>
        <v>522242.65978424664</v>
      </c>
      <c r="K20" s="41">
        <f t="shared" ref="K20" si="11">+M45</f>
        <v>11219392</v>
      </c>
      <c r="L20" s="41">
        <f t="shared" ref="L20" si="12">IF((L19-K20)&lt;0,0,(L19-K20))</f>
        <v>9241477</v>
      </c>
      <c r="M20" s="42">
        <f t="shared" ref="M20" si="13">J20+K20</f>
        <v>11741634.659784246</v>
      </c>
      <c r="N20" s="43">
        <f>J45/(1+$D$14)^(F20/365)</f>
        <v>9318963.4245569482</v>
      </c>
      <c r="O20" s="30"/>
      <c r="P20" s="272"/>
      <c r="Q20" s="273"/>
      <c r="R20" s="274"/>
      <c r="S20" s="29"/>
      <c r="V20" s="21"/>
    </row>
    <row r="21" spans="1:34" ht="15.75" customHeight="1" x14ac:dyDescent="0.25">
      <c r="A21" s="17"/>
      <c r="B21" s="256" t="s">
        <v>39</v>
      </c>
      <c r="C21" s="257"/>
      <c r="D21" s="233">
        <f>+((D20+1)^(0.0833333333333333)-1)*12</f>
        <v>0.31188090503979193</v>
      </c>
      <c r="E21" s="45"/>
      <c r="F21" s="39">
        <f t="shared" ref="F21" si="14">+(H21-$D$35)</f>
        <v>323</v>
      </c>
      <c r="G21" s="15">
        <v>30</v>
      </c>
      <c r="H21" s="40">
        <f t="shared" ref="H21" si="15">+D46</f>
        <v>44365</v>
      </c>
      <c r="I21" s="41">
        <f t="shared" ref="I21" si="16">J21+K21</f>
        <v>9493623.737188356</v>
      </c>
      <c r="J21" s="41">
        <f t="shared" ref="J21" si="17">+L46</f>
        <v>252146.73718835617</v>
      </c>
      <c r="K21" s="41">
        <f t="shared" ref="K21" si="18">+M46</f>
        <v>9241477</v>
      </c>
      <c r="L21" s="41">
        <f t="shared" ref="L21" si="19">IF((L20-K21)&lt;0,0,(L20-K21))</f>
        <v>0</v>
      </c>
      <c r="M21" s="42">
        <f t="shared" ref="M21" si="20">J21+K21</f>
        <v>9493623.737188356</v>
      </c>
      <c r="N21" s="51">
        <f t="shared" ref="N21" si="21">J46/(1+$D$14)^(F21/365)</f>
        <v>7363226.1763363406</v>
      </c>
      <c r="O21" s="30"/>
      <c r="P21" s="272"/>
      <c r="Q21" s="273"/>
      <c r="R21" s="274"/>
      <c r="S21" s="29"/>
      <c r="V21" s="21"/>
    </row>
    <row r="22" spans="1:34" ht="15.75" customHeight="1" x14ac:dyDescent="0.25">
      <c r="A22" s="17"/>
      <c r="B22" s="256" t="s">
        <v>43</v>
      </c>
      <c r="C22" s="257"/>
      <c r="D22" s="237">
        <f>+AG52</f>
        <v>4.9813185892581346</v>
      </c>
      <c r="E22" s="45"/>
      <c r="F22" s="46"/>
      <c r="G22" s="16"/>
      <c r="H22" s="47" t="s">
        <v>5</v>
      </c>
      <c r="I22" s="48"/>
      <c r="J22" s="49">
        <f>+SUM(J11:J21)</f>
        <v>21832929.127184931</v>
      </c>
      <c r="K22" s="49">
        <f>+SUM(K11:K21)</f>
        <v>139430093</v>
      </c>
      <c r="L22" s="49"/>
      <c r="M22" s="50">
        <f>+SUM(M11:M21)</f>
        <v>161263022.12718496</v>
      </c>
      <c r="N22" s="17"/>
      <c r="O22" s="30"/>
      <c r="P22" s="272"/>
      <c r="Q22" s="273"/>
      <c r="R22" s="274"/>
      <c r="S22" s="29"/>
    </row>
    <row r="23" spans="1:34" ht="15.75" customHeight="1" x14ac:dyDescent="0.25">
      <c r="A23" s="17"/>
      <c r="B23" s="256" t="s">
        <v>62</v>
      </c>
      <c r="C23" s="257"/>
      <c r="D23" s="233">
        <f>B29</f>
        <v>2.0630905039791925E-2</v>
      </c>
      <c r="E23" s="31"/>
      <c r="F23" s="17"/>
      <c r="G23" s="17"/>
      <c r="H23" s="17"/>
      <c r="I23" s="17"/>
      <c r="J23" s="17"/>
      <c r="K23" s="17"/>
      <c r="L23" s="17"/>
      <c r="M23" s="17"/>
      <c r="N23" s="17"/>
      <c r="O23" s="30"/>
      <c r="P23" s="272"/>
      <c r="Q23" s="273"/>
      <c r="R23" s="274"/>
      <c r="S23" s="29"/>
    </row>
    <row r="24" spans="1:34" ht="15.75" customHeight="1" x14ac:dyDescent="0.25">
      <c r="A24" s="17"/>
      <c r="B24" s="283" t="s">
        <v>60</v>
      </c>
      <c r="C24" s="284"/>
      <c r="D24" s="238" t="s">
        <v>61</v>
      </c>
      <c r="E24" s="29"/>
      <c r="F24" s="17"/>
      <c r="G24" s="17"/>
      <c r="H24" s="17"/>
      <c r="I24" s="17"/>
      <c r="J24" s="17"/>
      <c r="K24" s="17"/>
      <c r="L24" s="17"/>
      <c r="M24" s="17"/>
      <c r="N24" s="17"/>
      <c r="O24" s="30"/>
      <c r="P24" s="272"/>
      <c r="Q24" s="273"/>
      <c r="R24" s="274"/>
      <c r="S24" s="29"/>
    </row>
    <row r="25" spans="1:34" ht="15.75" customHeight="1" x14ac:dyDescent="0.25">
      <c r="A25" s="17"/>
      <c r="B25" s="17"/>
      <c r="C25" s="17"/>
      <c r="D25" s="17"/>
      <c r="E25" s="29"/>
      <c r="F25" s="17"/>
      <c r="G25" s="17"/>
      <c r="H25" s="17"/>
      <c r="I25" s="17"/>
      <c r="J25" s="17"/>
      <c r="K25" s="17"/>
      <c r="L25" s="17"/>
      <c r="M25" s="17"/>
      <c r="N25" s="17"/>
      <c r="O25" s="30"/>
      <c r="P25" s="275"/>
      <c r="Q25" s="276"/>
      <c r="R25" s="277"/>
      <c r="S25" s="29"/>
    </row>
    <row r="26" spans="1:34" ht="18" customHeight="1" x14ac:dyDescent="0.25">
      <c r="A26" s="17"/>
      <c r="B26" s="17"/>
      <c r="C26" s="17"/>
      <c r="D26" s="17"/>
      <c r="E26" s="29"/>
      <c r="F26" s="17"/>
      <c r="G26" s="17"/>
      <c r="H26" s="17"/>
      <c r="I26" s="17"/>
      <c r="J26" s="17"/>
      <c r="K26" s="17"/>
      <c r="L26" s="17"/>
      <c r="M26" s="17"/>
      <c r="N26" s="17"/>
      <c r="O26" s="29"/>
      <c r="P26" s="17"/>
      <c r="Q26" s="17"/>
      <c r="R26" s="17"/>
      <c r="S26" s="29"/>
    </row>
    <row r="27" spans="1:34" ht="12.75" hidden="1" customHeight="1" thickBot="1" x14ac:dyDescent="0.3">
      <c r="A27" s="17"/>
      <c r="B27" s="17"/>
      <c r="C27" s="52"/>
      <c r="D27" s="17"/>
      <c r="E27" s="17"/>
      <c r="F27" s="17"/>
      <c r="G27" s="17"/>
      <c r="H27" s="17"/>
      <c r="I27" s="17"/>
      <c r="J27" s="17"/>
      <c r="K27" s="17"/>
      <c r="L27" s="17"/>
      <c r="M27" s="17"/>
      <c r="N27" s="17"/>
      <c r="O27" s="17"/>
      <c r="P27" s="17"/>
      <c r="Q27" s="17"/>
      <c r="R27" s="17"/>
      <c r="S27" s="17"/>
    </row>
    <row r="28" spans="1:34" ht="15" hidden="1" customHeight="1" thickBot="1" x14ac:dyDescent="0.35">
      <c r="A28" s="53"/>
      <c r="B28" s="54" t="s">
        <v>12</v>
      </c>
      <c r="C28" s="52"/>
      <c r="D28" s="17"/>
      <c r="E28" s="17"/>
      <c r="F28" s="17"/>
      <c r="G28" s="17"/>
      <c r="H28" s="17"/>
      <c r="I28" s="17"/>
      <c r="J28" s="17"/>
      <c r="K28" s="17"/>
      <c r="L28" s="17"/>
      <c r="M28" s="17"/>
      <c r="N28" s="55"/>
      <c r="O28" s="17"/>
      <c r="P28" s="17"/>
      <c r="Q28" s="17"/>
      <c r="R28" s="17"/>
      <c r="S28" s="56"/>
    </row>
    <row r="29" spans="1:34" ht="15.75" hidden="1" customHeight="1" thickBot="1" x14ac:dyDescent="0.3">
      <c r="A29" s="53"/>
      <c r="B29" s="57">
        <f>D21-D13</f>
        <v>2.0630905039791925E-2</v>
      </c>
      <c r="C29" s="52"/>
      <c r="D29" s="17"/>
      <c r="E29" s="17"/>
      <c r="F29" s="17"/>
      <c r="G29" s="17"/>
      <c r="H29" s="17"/>
      <c r="I29" s="17"/>
      <c r="J29" s="17"/>
      <c r="K29" s="17"/>
      <c r="L29" s="17"/>
      <c r="M29" s="17"/>
      <c r="N29" s="17"/>
      <c r="O29" s="17"/>
      <c r="P29" s="17"/>
      <c r="Q29" s="17"/>
      <c r="R29" s="17"/>
      <c r="S29" s="52"/>
    </row>
    <row r="30" spans="1:34" ht="17.25" hidden="1" customHeight="1" thickBot="1" x14ac:dyDescent="0.35">
      <c r="A30" s="53"/>
      <c r="B30" s="11" t="s">
        <v>58</v>
      </c>
      <c r="C30" s="11" t="s">
        <v>13</v>
      </c>
      <c r="D30" s="58" t="s">
        <v>23</v>
      </c>
      <c r="E30" s="58"/>
      <c r="F30" s="298" t="s">
        <v>3</v>
      </c>
      <c r="G30" s="299"/>
      <c r="H30" s="300"/>
      <c r="I30" s="300"/>
      <c r="J30" s="300"/>
      <c r="K30" s="301" t="s">
        <v>4</v>
      </c>
      <c r="L30" s="302"/>
      <c r="M30" s="302"/>
      <c r="N30" s="302"/>
      <c r="O30" s="302"/>
      <c r="P30" s="303"/>
      <c r="Q30" s="59"/>
      <c r="R30" s="17"/>
      <c r="S30" s="52"/>
    </row>
    <row r="31" spans="1:34" ht="17.25" hidden="1" customHeight="1" thickBot="1" x14ac:dyDescent="0.35">
      <c r="A31" s="53"/>
      <c r="B31" s="60">
        <v>300</v>
      </c>
      <c r="C31" s="60">
        <v>365</v>
      </c>
      <c r="D31" s="58" t="s">
        <v>10</v>
      </c>
      <c r="E31" s="58"/>
      <c r="F31" s="61"/>
      <c r="G31" s="61"/>
      <c r="H31" s="62"/>
      <c r="I31" s="63"/>
      <c r="J31" s="64">
        <f>XIRR(J35:J51,$D$35:$D$51,0.2)</f>
        <v>0.38536230921745296</v>
      </c>
      <c r="K31" s="65"/>
      <c r="L31" s="62"/>
      <c r="M31" s="62"/>
      <c r="N31" s="58" t="s">
        <v>10</v>
      </c>
      <c r="O31" s="66">
        <f>XIRR(O35:O49,D35:D49,0.2)</f>
        <v>0.36056068539619446</v>
      </c>
      <c r="P31" s="67"/>
      <c r="Q31" s="59"/>
      <c r="R31" s="17"/>
      <c r="S31" s="52"/>
      <c r="U31" s="68" t="s">
        <v>22</v>
      </c>
      <c r="V31" s="69">
        <f>+$D$35</f>
        <v>44042</v>
      </c>
      <c r="W31" s="70"/>
      <c r="X31" s="264" t="s">
        <v>53</v>
      </c>
      <c r="Y31" s="265"/>
      <c r="Z31" s="266"/>
      <c r="AA31" s="71"/>
      <c r="AB31" s="68" t="s">
        <v>22</v>
      </c>
      <c r="AC31" s="69">
        <f>+V31</f>
        <v>44042</v>
      </c>
      <c r="AD31" s="70"/>
      <c r="AE31" s="264" t="s">
        <v>54</v>
      </c>
      <c r="AF31" s="265"/>
      <c r="AG31" s="266"/>
      <c r="AH31" s="72"/>
    </row>
    <row r="32" spans="1:34" ht="17.25" hidden="1" customHeight="1" thickBot="1" x14ac:dyDescent="0.3">
      <c r="A32" s="53"/>
      <c r="B32" s="73"/>
      <c r="C32" s="12" t="s">
        <v>14</v>
      </c>
      <c r="D32" s="74">
        <v>44027</v>
      </c>
      <c r="E32" s="75"/>
      <c r="F32" s="76" t="s">
        <v>11</v>
      </c>
      <c r="G32" s="76"/>
      <c r="H32" s="5">
        <f>C33</f>
        <v>0.3</v>
      </c>
      <c r="I32" s="77"/>
      <c r="J32" s="17"/>
      <c r="K32" s="53"/>
      <c r="L32" s="3">
        <f>D19</f>
        <v>0.32125000000000004</v>
      </c>
      <c r="M32" s="17"/>
      <c r="N32" s="76" t="s">
        <v>11</v>
      </c>
      <c r="O32" s="78">
        <f>+((O31+1)^(0.0833333333333333)-1)*12</f>
        <v>0.31188090503979193</v>
      </c>
      <c r="P32" s="79"/>
      <c r="Q32" s="80"/>
      <c r="R32" s="81"/>
      <c r="S32" s="82"/>
      <c r="U32" s="6"/>
      <c r="V32" s="1"/>
      <c r="W32" s="1"/>
      <c r="X32" s="2"/>
      <c r="Y32" s="83"/>
      <c r="Z32" s="84"/>
      <c r="AA32" s="21"/>
      <c r="AB32" s="6"/>
      <c r="AC32" s="1"/>
      <c r="AD32" s="1"/>
      <c r="AE32" s="2"/>
      <c r="AF32" s="83"/>
      <c r="AG32" s="84"/>
      <c r="AH32" s="85"/>
    </row>
    <row r="33" spans="1:34" ht="17.25" hidden="1" customHeight="1" thickBot="1" x14ac:dyDescent="0.3">
      <c r="A33" s="53"/>
      <c r="B33" s="12" t="s">
        <v>24</v>
      </c>
      <c r="C33" s="86">
        <v>0.3</v>
      </c>
      <c r="D33" s="289" t="s">
        <v>0</v>
      </c>
      <c r="E33" s="87"/>
      <c r="F33" s="289" t="s">
        <v>57</v>
      </c>
      <c r="G33" s="289" t="s">
        <v>56</v>
      </c>
      <c r="H33" s="291" t="s">
        <v>6</v>
      </c>
      <c r="I33" s="296" t="s">
        <v>64</v>
      </c>
      <c r="J33" s="304" t="s">
        <v>2</v>
      </c>
      <c r="K33" s="306" t="s">
        <v>9</v>
      </c>
      <c r="L33" s="88" t="s">
        <v>6</v>
      </c>
      <c r="M33" s="89" t="s">
        <v>8</v>
      </c>
      <c r="N33" s="293" t="s">
        <v>1</v>
      </c>
      <c r="O33" s="293" t="s">
        <v>2</v>
      </c>
      <c r="P33" s="253"/>
      <c r="Q33" s="247"/>
      <c r="R33" s="247"/>
      <c r="S33" s="82"/>
      <c r="U33" s="90" t="s">
        <v>16</v>
      </c>
      <c r="V33" s="91">
        <f>+H32</f>
        <v>0.3</v>
      </c>
      <c r="W33" s="92"/>
      <c r="X33" s="92" t="s">
        <v>17</v>
      </c>
      <c r="Y33" s="93">
        <f>+F35</f>
        <v>139430093</v>
      </c>
      <c r="Z33" s="94"/>
      <c r="AA33" s="94"/>
      <c r="AB33" s="90" t="s">
        <v>16</v>
      </c>
      <c r="AC33" s="91">
        <f>+L32</f>
        <v>0.32125000000000004</v>
      </c>
      <c r="AD33" s="92"/>
      <c r="AE33" s="92" t="s">
        <v>17</v>
      </c>
      <c r="AF33" s="93">
        <f>+N35</f>
        <v>139430093</v>
      </c>
      <c r="AG33" s="94"/>
      <c r="AH33" s="95"/>
    </row>
    <row r="34" spans="1:34" ht="15.75" hidden="1" customHeight="1" thickBot="1" x14ac:dyDescent="0.3">
      <c r="A34" s="53"/>
      <c r="B34" s="12" t="s">
        <v>25</v>
      </c>
      <c r="C34" s="86">
        <v>0.4</v>
      </c>
      <c r="D34" s="297"/>
      <c r="E34" s="96"/>
      <c r="F34" s="290"/>
      <c r="G34" s="295"/>
      <c r="H34" s="292"/>
      <c r="I34" s="292"/>
      <c r="J34" s="305"/>
      <c r="K34" s="307"/>
      <c r="L34" s="97"/>
      <c r="M34" s="98"/>
      <c r="N34" s="294"/>
      <c r="O34" s="294"/>
      <c r="P34" s="254"/>
      <c r="Q34" s="245"/>
      <c r="R34" s="246"/>
      <c r="S34" s="82"/>
      <c r="U34" s="99" t="s">
        <v>0</v>
      </c>
      <c r="V34" s="100" t="s">
        <v>18</v>
      </c>
      <c r="W34" s="101"/>
      <c r="X34" s="101" t="s">
        <v>19</v>
      </c>
      <c r="Y34" s="102"/>
      <c r="Z34" s="101"/>
      <c r="AA34" s="101"/>
      <c r="AB34" s="99" t="s">
        <v>0</v>
      </c>
      <c r="AC34" s="100" t="s">
        <v>18</v>
      </c>
      <c r="AD34" s="101"/>
      <c r="AE34" s="101" t="s">
        <v>19</v>
      </c>
      <c r="AF34" s="102"/>
      <c r="AG34" s="101"/>
      <c r="AH34" s="103"/>
    </row>
    <row r="35" spans="1:34" ht="17.25" hidden="1" customHeight="1" thickBot="1" x14ac:dyDescent="0.3">
      <c r="A35" s="53"/>
      <c r="B35" s="104" t="s">
        <v>15</v>
      </c>
      <c r="C35" s="105" t="s">
        <v>26</v>
      </c>
      <c r="D35" s="106">
        <v>44042</v>
      </c>
      <c r="E35" s="107"/>
      <c r="F35" s="108">
        <f>+D9</f>
        <v>139430093</v>
      </c>
      <c r="G35" s="108"/>
      <c r="H35" s="109">
        <v>0</v>
      </c>
      <c r="I35" s="110">
        <v>0</v>
      </c>
      <c r="J35" s="111">
        <f>-F35</f>
        <v>-139430093</v>
      </c>
      <c r="K35" s="112"/>
      <c r="L35" s="113"/>
      <c r="M35" s="114"/>
      <c r="N35" s="115">
        <f>F35</f>
        <v>139430093</v>
      </c>
      <c r="O35" s="115">
        <f>J35*D17</f>
        <v>-141778343.90935683</v>
      </c>
      <c r="P35" s="116">
        <f>-SUM(P36:P51)</f>
        <v>-155720942.41362298</v>
      </c>
      <c r="Q35" s="117"/>
      <c r="R35" s="118"/>
      <c r="S35" s="82"/>
      <c r="U35" s="119"/>
      <c r="V35" s="120"/>
      <c r="W35" s="121"/>
      <c r="X35" s="122"/>
      <c r="Y35" s="123"/>
      <c r="Z35" s="124"/>
      <c r="AA35" s="94"/>
      <c r="AB35" s="119"/>
      <c r="AC35" s="120"/>
      <c r="AD35" s="121"/>
      <c r="AE35" s="122"/>
      <c r="AF35" s="123"/>
      <c r="AG35" s="124"/>
      <c r="AH35" s="95"/>
    </row>
    <row r="36" spans="1:34" ht="17.25" hidden="1" customHeight="1" x14ac:dyDescent="0.25">
      <c r="A36" s="53"/>
      <c r="B36" s="125">
        <f>+(D36-$D$32)</f>
        <v>34</v>
      </c>
      <c r="C36" s="4">
        <f>+B36</f>
        <v>34</v>
      </c>
      <c r="D36" s="7">
        <v>44061</v>
      </c>
      <c r="E36" s="126"/>
      <c r="F36" s="127">
        <f>F35-I36</f>
        <v>126276122</v>
      </c>
      <c r="G36" s="13">
        <v>9.4340975588390372E-2</v>
      </c>
      <c r="H36" s="127">
        <f>ROUND((F35*B36*$H$32/$C$31),0)</f>
        <v>3896403</v>
      </c>
      <c r="I36" s="128">
        <f>+$F$35*G36</f>
        <v>13153971</v>
      </c>
      <c r="J36" s="129">
        <f>H36+I36</f>
        <v>17050374</v>
      </c>
      <c r="K36" s="111">
        <f>J36</f>
        <v>17050374</v>
      </c>
      <c r="L36" s="130">
        <f>N35*B36*L32/$C$31</f>
        <v>4172397.7829931513</v>
      </c>
      <c r="M36" s="115">
        <f>+I36</f>
        <v>13153971</v>
      </c>
      <c r="N36" s="115">
        <f>IF((N35-M36)&lt;0,0,(N35-M36))</f>
        <v>126276122</v>
      </c>
      <c r="O36" s="115">
        <f t="shared" ref="O36:O50" si="22">L36+M36</f>
        <v>17326368.782993153</v>
      </c>
      <c r="P36" s="131">
        <f t="shared" ref="P36:P50" si="23">J36/(1+$D$20)^(B36/365)</f>
        <v>16568301.694375357</v>
      </c>
      <c r="Q36" s="117"/>
      <c r="R36" s="118"/>
      <c r="S36" s="82"/>
      <c r="U36" s="119">
        <f>+D36</f>
        <v>44061</v>
      </c>
      <c r="V36" s="120">
        <f t="shared" ref="V36:V50" si="24">+J36</f>
        <v>17050374</v>
      </c>
      <c r="W36" s="121">
        <f t="shared" ref="W36:W45" si="25">+(U36-$V$31)/360</f>
        <v>5.2777777777777778E-2</v>
      </c>
      <c r="X36" s="122">
        <f>+V36/$V$51*W36</f>
        <v>5.6306312986167716E-3</v>
      </c>
      <c r="Y36" s="123">
        <f t="shared" ref="Y36:Y50" si="26">+V36/(1+$H$32)^W36</f>
        <v>16815904.518877227</v>
      </c>
      <c r="Z36" s="124">
        <f>+Y36/$Y$51*W36</f>
        <v>6.2095820420286713E-3</v>
      </c>
      <c r="AA36" s="94"/>
      <c r="AB36" s="119">
        <f>+U36</f>
        <v>44061</v>
      </c>
      <c r="AC36" s="120">
        <f>+O36</f>
        <v>17326368.782993153</v>
      </c>
      <c r="AD36" s="121">
        <f t="shared" ref="AD36:AD45" si="27">+(AB36-$V$31)/360</f>
        <v>5.2777777777777778E-2</v>
      </c>
      <c r="AE36" s="122">
        <f>+AC36/$AC$51*AD36</f>
        <v>5.6705327065211027E-3</v>
      </c>
      <c r="AF36" s="123">
        <f t="shared" ref="AF36:AF50" si="28">+AC36/(1+$L$32)^AD36</f>
        <v>17073487.244665619</v>
      </c>
      <c r="AG36" s="124">
        <f>+AF36/$AF$51*AD36</f>
        <v>6.2887504923119881E-3</v>
      </c>
      <c r="AH36" s="95"/>
    </row>
    <row r="37" spans="1:34" ht="16.5" hidden="1" customHeight="1" x14ac:dyDescent="0.25">
      <c r="A37" s="53"/>
      <c r="B37" s="125">
        <f>+(D37-D36)</f>
        <v>31</v>
      </c>
      <c r="C37" s="4">
        <f t="shared" ref="C37:C49" si="29">+B37</f>
        <v>31</v>
      </c>
      <c r="D37" s="7">
        <v>44092</v>
      </c>
      <c r="E37" s="132"/>
      <c r="F37" s="127">
        <f>F36-I37</f>
        <v>112342363</v>
      </c>
      <c r="G37" s="13">
        <v>9.9933656359248071E-2</v>
      </c>
      <c r="H37" s="127">
        <f t="shared" ref="H37:H45" si="30">ROUND((F36*B37*$H$32/$C$31),0)</f>
        <v>3217446</v>
      </c>
      <c r="I37" s="133">
        <f t="shared" ref="I37:I45" si="31">+$F$35*G37</f>
        <v>13933759</v>
      </c>
      <c r="J37" s="115">
        <f>H37+I37</f>
        <v>17151205</v>
      </c>
      <c r="K37" s="111">
        <f t="shared" ref="K37:K50" si="32">J37</f>
        <v>17151205</v>
      </c>
      <c r="L37" s="130">
        <f t="shared" ref="L37:L45" si="33">N36*B37*$L$32/$C$31</f>
        <v>3445348.8492260282</v>
      </c>
      <c r="M37" s="115">
        <f t="shared" ref="M37:M45" si="34">+I37</f>
        <v>13933759</v>
      </c>
      <c r="N37" s="115">
        <f t="shared" ref="N37:N45" si="35">IF((N36-M37)&lt;0,0,(N36-M37))</f>
        <v>112342363</v>
      </c>
      <c r="O37" s="115">
        <f t="shared" si="22"/>
        <v>17379107.849226028</v>
      </c>
      <c r="P37" s="131">
        <f t="shared" si="23"/>
        <v>16708511.95153516</v>
      </c>
      <c r="Q37" s="117"/>
      <c r="R37" s="118"/>
      <c r="S37" s="82"/>
      <c r="U37" s="119">
        <f t="shared" ref="U37:U50" si="36">+D37</f>
        <v>44092</v>
      </c>
      <c r="V37" s="120">
        <f t="shared" si="24"/>
        <v>17151205</v>
      </c>
      <c r="W37" s="121">
        <f t="shared" si="25"/>
        <v>0.1388888888888889</v>
      </c>
      <c r="X37" s="122">
        <f t="shared" ref="X37:X50" si="37">+V37/$V$51*W37</f>
        <v>1.4905076921200867E-2</v>
      </c>
      <c r="Y37" s="123">
        <f t="shared" si="26"/>
        <v>16537473.919014072</v>
      </c>
      <c r="Z37" s="124">
        <f t="shared" ref="Z37:Z50" si="38">+Y37/$Y$51*W37</f>
        <v>1.60704379520979E-2</v>
      </c>
      <c r="AA37" s="94"/>
      <c r="AB37" s="119">
        <f t="shared" ref="AB37:AB50" si="39">+U37</f>
        <v>44092</v>
      </c>
      <c r="AC37" s="120">
        <f t="shared" ref="AC37:AC50" si="40">+O37</f>
        <v>17379107.849226028</v>
      </c>
      <c r="AD37" s="121">
        <f t="shared" si="27"/>
        <v>0.1388888888888889</v>
      </c>
      <c r="AE37" s="122">
        <f t="shared" ref="AE37:AE50" si="41">+AC37/$AC$51*AD37</f>
        <v>1.4967876375003575E-2</v>
      </c>
      <c r="AF37" s="123">
        <f t="shared" si="28"/>
        <v>16719527.734845767</v>
      </c>
      <c r="AG37" s="124">
        <f t="shared" ref="AG37:AG50" si="42">+AF37/$AF$51*AD37</f>
        <v>1.6206250194725987E-2</v>
      </c>
      <c r="AH37" s="95"/>
    </row>
    <row r="38" spans="1:34" ht="17.25" hidden="1" customHeight="1" x14ac:dyDescent="0.25">
      <c r="A38" s="53"/>
      <c r="B38" s="125">
        <f t="shared" ref="B38:B49" si="43">+(D38-D37)</f>
        <v>31</v>
      </c>
      <c r="C38" s="4">
        <f t="shared" si="29"/>
        <v>31</v>
      </c>
      <c r="D38" s="7">
        <v>44123</v>
      </c>
      <c r="E38" s="132"/>
      <c r="F38" s="127">
        <f t="shared" ref="F38:F46" si="44">F37-I38</f>
        <v>98443556</v>
      </c>
      <c r="G38" s="13">
        <v>9.9682978767001176E-2</v>
      </c>
      <c r="H38" s="127">
        <f t="shared" si="30"/>
        <v>2862422</v>
      </c>
      <c r="I38" s="133">
        <f t="shared" si="31"/>
        <v>13898807</v>
      </c>
      <c r="J38" s="115">
        <f t="shared" ref="J38:J45" si="45">H38+I38</f>
        <v>16761229</v>
      </c>
      <c r="K38" s="111">
        <f t="shared" si="32"/>
        <v>16761229</v>
      </c>
      <c r="L38" s="130">
        <f t="shared" si="33"/>
        <v>3065176.7329486306</v>
      </c>
      <c r="M38" s="115">
        <f t="shared" si="34"/>
        <v>13898807</v>
      </c>
      <c r="N38" s="115">
        <f t="shared" si="35"/>
        <v>98443556</v>
      </c>
      <c r="O38" s="115">
        <f t="shared" si="22"/>
        <v>16963983.732948631</v>
      </c>
      <c r="P38" s="131">
        <f t="shared" si="23"/>
        <v>16328601.697018823</v>
      </c>
      <c r="Q38" s="117"/>
      <c r="R38" s="118"/>
      <c r="S38" s="82"/>
      <c r="U38" s="119">
        <f t="shared" si="36"/>
        <v>44123</v>
      </c>
      <c r="V38" s="120">
        <f t="shared" si="24"/>
        <v>16761229</v>
      </c>
      <c r="W38" s="121">
        <f t="shared" si="25"/>
        <v>0.22500000000000001</v>
      </c>
      <c r="X38" s="122">
        <f t="shared" si="37"/>
        <v>2.3597199159648408E-2</v>
      </c>
      <c r="Y38" s="123">
        <f t="shared" si="26"/>
        <v>15800419.056048093</v>
      </c>
      <c r="Z38" s="124">
        <f t="shared" si="38"/>
        <v>2.4873801258122073E-2</v>
      </c>
      <c r="AA38" s="94"/>
      <c r="AB38" s="119">
        <f t="shared" si="39"/>
        <v>44123</v>
      </c>
      <c r="AC38" s="120">
        <f t="shared" si="40"/>
        <v>16963983.732948631</v>
      </c>
      <c r="AD38" s="121">
        <f t="shared" si="27"/>
        <v>0.22500000000000001</v>
      </c>
      <c r="AE38" s="122">
        <f t="shared" si="41"/>
        <v>2.3668763548925255E-2</v>
      </c>
      <c r="AF38" s="123">
        <f t="shared" si="28"/>
        <v>15933317.938092733</v>
      </c>
      <c r="AG38" s="124">
        <f t="shared" si="42"/>
        <v>2.5019565891557165E-2</v>
      </c>
      <c r="AH38" s="95"/>
    </row>
    <row r="39" spans="1:34" ht="17.25" hidden="1" customHeight="1" x14ac:dyDescent="0.25">
      <c r="A39" s="53"/>
      <c r="B39" s="125">
        <f t="shared" si="43"/>
        <v>30</v>
      </c>
      <c r="C39" s="4">
        <f t="shared" si="29"/>
        <v>30</v>
      </c>
      <c r="D39" s="7">
        <v>44153</v>
      </c>
      <c r="E39" s="132"/>
      <c r="F39" s="127">
        <f t="shared" si="44"/>
        <v>84604849</v>
      </c>
      <c r="G39" s="13">
        <v>9.9251938388938754E-2</v>
      </c>
      <c r="H39" s="127">
        <f t="shared" si="30"/>
        <v>2427375</v>
      </c>
      <c r="I39" s="133">
        <f t="shared" si="31"/>
        <v>13838707</v>
      </c>
      <c r="J39" s="115">
        <f t="shared" si="45"/>
        <v>16266082</v>
      </c>
      <c r="K39" s="111">
        <f t="shared" si="32"/>
        <v>16266082</v>
      </c>
      <c r="L39" s="130">
        <f t="shared" si="33"/>
        <v>2599314.4409589041</v>
      </c>
      <c r="M39" s="115">
        <f t="shared" si="34"/>
        <v>13838707</v>
      </c>
      <c r="N39" s="115">
        <f t="shared" si="35"/>
        <v>84604849</v>
      </c>
      <c r="O39" s="115">
        <f t="shared" si="22"/>
        <v>16438021.440958904</v>
      </c>
      <c r="P39" s="131">
        <f t="shared" si="23"/>
        <v>15859607.811697252</v>
      </c>
      <c r="Q39" s="117"/>
      <c r="R39" s="118"/>
      <c r="S39" s="82"/>
      <c r="U39" s="119">
        <f t="shared" si="36"/>
        <v>44153</v>
      </c>
      <c r="V39" s="120">
        <f t="shared" si="24"/>
        <v>16266082</v>
      </c>
      <c r="W39" s="121">
        <f t="shared" si="25"/>
        <v>0.30833333333333335</v>
      </c>
      <c r="X39" s="122">
        <f t="shared" si="37"/>
        <v>3.1381631295571658E-2</v>
      </c>
      <c r="Y39" s="123">
        <f t="shared" si="26"/>
        <v>15002043.61333525</v>
      </c>
      <c r="Z39" s="124">
        <f t="shared" si="38"/>
        <v>3.2363981049099641E-2</v>
      </c>
      <c r="AA39" s="94"/>
      <c r="AB39" s="119">
        <f t="shared" si="39"/>
        <v>44153</v>
      </c>
      <c r="AC39" s="120">
        <f t="shared" si="40"/>
        <v>16438021.440958904</v>
      </c>
      <c r="AD39" s="121">
        <f t="shared" si="27"/>
        <v>0.30833333333333335</v>
      </c>
      <c r="AE39" s="122">
        <f t="shared" si="41"/>
        <v>3.142933747265584E-2</v>
      </c>
      <c r="AF39" s="123">
        <f t="shared" si="28"/>
        <v>15085018.049544895</v>
      </c>
      <c r="AG39" s="124">
        <f t="shared" si="42"/>
        <v>3.246065970806588E-2</v>
      </c>
      <c r="AH39" s="95"/>
    </row>
    <row r="40" spans="1:34" ht="15.75" hidden="1" customHeight="1" x14ac:dyDescent="0.25">
      <c r="A40" s="53"/>
      <c r="B40" s="125">
        <f t="shared" si="43"/>
        <v>30</v>
      </c>
      <c r="C40" s="4">
        <f t="shared" si="29"/>
        <v>30</v>
      </c>
      <c r="D40" s="7">
        <v>44183</v>
      </c>
      <c r="E40" s="132"/>
      <c r="F40" s="127">
        <f t="shared" si="44"/>
        <v>71088775</v>
      </c>
      <c r="G40" s="13">
        <v>9.6937997452242963E-2</v>
      </c>
      <c r="H40" s="127">
        <f t="shared" si="30"/>
        <v>2086147</v>
      </c>
      <c r="I40" s="133">
        <f t="shared" si="31"/>
        <v>13516074</v>
      </c>
      <c r="J40" s="115">
        <f t="shared" si="45"/>
        <v>15602221</v>
      </c>
      <c r="K40" s="111">
        <f t="shared" si="32"/>
        <v>15602221</v>
      </c>
      <c r="L40" s="130">
        <f t="shared" si="33"/>
        <v>2233915.7047602744</v>
      </c>
      <c r="M40" s="115">
        <f t="shared" si="34"/>
        <v>13516074</v>
      </c>
      <c r="N40" s="115">
        <f t="shared" si="35"/>
        <v>71088775</v>
      </c>
      <c r="O40" s="115">
        <f t="shared" si="22"/>
        <v>15749989.704760274</v>
      </c>
      <c r="P40" s="131">
        <f t="shared" si="23"/>
        <v>15212336.077700021</v>
      </c>
      <c r="Q40" s="117"/>
      <c r="R40" s="118"/>
      <c r="S40" s="82"/>
      <c r="U40" s="119">
        <f t="shared" si="36"/>
        <v>44183</v>
      </c>
      <c r="V40" s="120">
        <f t="shared" si="24"/>
        <v>15602221</v>
      </c>
      <c r="W40" s="121">
        <f t="shared" si="25"/>
        <v>0.39166666666666666</v>
      </c>
      <c r="X40" s="122">
        <f t="shared" si="37"/>
        <v>3.8236234579048116E-2</v>
      </c>
      <c r="Y40" s="123">
        <f t="shared" si="26"/>
        <v>14078572.19524274</v>
      </c>
      <c r="Z40" s="124">
        <f t="shared" si="38"/>
        <v>3.8580358651666119E-2</v>
      </c>
      <c r="AA40" s="94"/>
      <c r="AB40" s="119">
        <f t="shared" si="39"/>
        <v>44183</v>
      </c>
      <c r="AC40" s="120">
        <f t="shared" si="40"/>
        <v>15749989.704760274</v>
      </c>
      <c r="AD40" s="121">
        <f t="shared" si="27"/>
        <v>0.39166666666666666</v>
      </c>
      <c r="AE40" s="122">
        <f t="shared" si="41"/>
        <v>3.8252699759233122E-2</v>
      </c>
      <c r="AF40" s="123">
        <f t="shared" si="28"/>
        <v>14121943.91762959</v>
      </c>
      <c r="AG40" s="124">
        <f t="shared" si="42"/>
        <v>3.8601317165447839E-2</v>
      </c>
      <c r="AH40" s="95"/>
    </row>
    <row r="41" spans="1:34" ht="17.25" hidden="1" customHeight="1" x14ac:dyDescent="0.25">
      <c r="A41" s="53"/>
      <c r="B41" s="125">
        <f t="shared" si="43"/>
        <v>31</v>
      </c>
      <c r="C41" s="4">
        <f t="shared" si="29"/>
        <v>31</v>
      </c>
      <c r="D41" s="7">
        <v>44214</v>
      </c>
      <c r="E41" s="132"/>
      <c r="F41" s="127">
        <f t="shared" si="44"/>
        <v>57943758</v>
      </c>
      <c r="G41" s="13">
        <v>9.427675702690666E-2</v>
      </c>
      <c r="H41" s="127">
        <f t="shared" si="30"/>
        <v>1811303</v>
      </c>
      <c r="I41" s="133">
        <f t="shared" si="31"/>
        <v>13145017</v>
      </c>
      <c r="J41" s="115">
        <f t="shared" si="45"/>
        <v>14956320</v>
      </c>
      <c r="K41" s="111">
        <f t="shared" si="32"/>
        <v>14956320</v>
      </c>
      <c r="L41" s="130">
        <f t="shared" si="33"/>
        <v>1939603.6658390414</v>
      </c>
      <c r="M41" s="115">
        <f t="shared" si="34"/>
        <v>13145017</v>
      </c>
      <c r="N41" s="115">
        <f t="shared" si="35"/>
        <v>57943758</v>
      </c>
      <c r="O41" s="115">
        <f t="shared" si="22"/>
        <v>15084620.665839041</v>
      </c>
      <c r="P41" s="131">
        <f t="shared" si="23"/>
        <v>14570279.550094837</v>
      </c>
      <c r="Q41" s="117"/>
      <c r="R41" s="118"/>
      <c r="S41" s="82"/>
      <c r="U41" s="119">
        <f t="shared" si="36"/>
        <v>44214</v>
      </c>
      <c r="V41" s="120">
        <f t="shared" si="24"/>
        <v>14956320</v>
      </c>
      <c r="W41" s="121">
        <f t="shared" si="25"/>
        <v>0.4777777777777778</v>
      </c>
      <c r="X41" s="122">
        <f t="shared" si="37"/>
        <v>4.4711863930251353E-2</v>
      </c>
      <c r="Y41" s="123">
        <f t="shared" si="26"/>
        <v>13194263.314426912</v>
      </c>
      <c r="Z41" s="124">
        <f t="shared" si="38"/>
        <v>4.4106452587039664E-2</v>
      </c>
      <c r="AA41" s="94"/>
      <c r="AB41" s="119">
        <f t="shared" si="39"/>
        <v>44214</v>
      </c>
      <c r="AC41" s="120">
        <f t="shared" si="40"/>
        <v>15084620.665839041</v>
      </c>
      <c r="AD41" s="121">
        <f t="shared" si="27"/>
        <v>0.4777777777777778</v>
      </c>
      <c r="AE41" s="122">
        <f t="shared" si="41"/>
        <v>4.4691563169771339E-2</v>
      </c>
      <c r="AF41" s="123">
        <f t="shared" si="28"/>
        <v>13204758.072844954</v>
      </c>
      <c r="AG41" s="124">
        <f t="shared" si="42"/>
        <v>4.4029872177138114E-2</v>
      </c>
      <c r="AH41" s="95"/>
    </row>
    <row r="42" spans="1:34" ht="17.25" hidden="1" customHeight="1" x14ac:dyDescent="0.25">
      <c r="A42" s="53"/>
      <c r="B42" s="125">
        <f t="shared" si="43"/>
        <v>31</v>
      </c>
      <c r="C42" s="4">
        <f t="shared" si="29"/>
        <v>31</v>
      </c>
      <c r="D42" s="7">
        <v>44245</v>
      </c>
      <c r="E42" s="132"/>
      <c r="F42" s="127">
        <f t="shared" si="44"/>
        <v>45119576</v>
      </c>
      <c r="G42" s="13">
        <v>9.1975711441288355E-2</v>
      </c>
      <c r="H42" s="127">
        <f t="shared" si="30"/>
        <v>1476375</v>
      </c>
      <c r="I42" s="133">
        <f t="shared" si="31"/>
        <v>12824182</v>
      </c>
      <c r="J42" s="115">
        <f t="shared" si="45"/>
        <v>14300557</v>
      </c>
      <c r="K42" s="111">
        <f t="shared" si="32"/>
        <v>14300557</v>
      </c>
      <c r="L42" s="130">
        <f t="shared" si="33"/>
        <v>1580951.7807739729</v>
      </c>
      <c r="M42" s="115">
        <f t="shared" si="34"/>
        <v>12824182</v>
      </c>
      <c r="N42" s="115">
        <f t="shared" si="35"/>
        <v>45119576</v>
      </c>
      <c r="O42" s="115">
        <f t="shared" si="22"/>
        <v>14405133.780773973</v>
      </c>
      <c r="P42" s="131">
        <f t="shared" si="23"/>
        <v>13931442.574915862</v>
      </c>
      <c r="Q42" s="117"/>
      <c r="R42" s="118"/>
      <c r="S42" s="82"/>
      <c r="U42" s="119">
        <f t="shared" si="36"/>
        <v>44245</v>
      </c>
      <c r="V42" s="120">
        <f t="shared" si="24"/>
        <v>14300557</v>
      </c>
      <c r="W42" s="121">
        <f t="shared" si="25"/>
        <v>0.56388888888888888</v>
      </c>
      <c r="X42" s="122">
        <f t="shared" si="37"/>
        <v>5.0456668352464505E-2</v>
      </c>
      <c r="Y42" s="123">
        <f t="shared" si="26"/>
        <v>12333932.377947632</v>
      </c>
      <c r="Z42" s="124">
        <f t="shared" si="38"/>
        <v>4.8661572231691992E-2</v>
      </c>
      <c r="AA42" s="94"/>
      <c r="AB42" s="119">
        <f t="shared" si="39"/>
        <v>44245</v>
      </c>
      <c r="AC42" s="120">
        <f t="shared" si="40"/>
        <v>14405133.780773973</v>
      </c>
      <c r="AD42" s="121">
        <f t="shared" si="27"/>
        <v>0.56388888888888888</v>
      </c>
      <c r="AE42" s="122">
        <f t="shared" si="41"/>
        <v>5.0370474116069014E-2</v>
      </c>
      <c r="AF42" s="123">
        <f t="shared" si="28"/>
        <v>12311052.930623312</v>
      </c>
      <c r="AG42" s="124">
        <f t="shared" si="42"/>
        <v>4.8448436397268133E-2</v>
      </c>
      <c r="AH42" s="95"/>
    </row>
    <row r="43" spans="1:34" ht="17.25" hidden="1" customHeight="1" x14ac:dyDescent="0.25">
      <c r="A43" s="53"/>
      <c r="B43" s="125">
        <f t="shared" si="43"/>
        <v>28</v>
      </c>
      <c r="C43" s="4">
        <f t="shared" si="29"/>
        <v>28</v>
      </c>
      <c r="D43" s="7">
        <v>44273</v>
      </c>
      <c r="E43" s="132"/>
      <c r="F43" s="127">
        <f t="shared" si="44"/>
        <v>32307164</v>
      </c>
      <c r="G43" s="13">
        <v>9.1891296378895773E-2</v>
      </c>
      <c r="H43" s="127">
        <f t="shared" si="30"/>
        <v>1038368</v>
      </c>
      <c r="I43" s="133">
        <f t="shared" si="31"/>
        <v>12812412</v>
      </c>
      <c r="J43" s="115">
        <f t="shared" si="45"/>
        <v>13850780</v>
      </c>
      <c r="K43" s="111">
        <f t="shared" si="32"/>
        <v>13850780</v>
      </c>
      <c r="L43" s="130">
        <f t="shared" si="33"/>
        <v>1111919.4140273975</v>
      </c>
      <c r="M43" s="115">
        <f t="shared" si="34"/>
        <v>12812412</v>
      </c>
      <c r="N43" s="115">
        <f t="shared" si="35"/>
        <v>32307164</v>
      </c>
      <c r="O43" s="115">
        <f t="shared" si="22"/>
        <v>13924331.414027397</v>
      </c>
      <c r="P43" s="131">
        <f t="shared" si="23"/>
        <v>13527464.980754247</v>
      </c>
      <c r="Q43" s="117"/>
      <c r="R43" s="118"/>
      <c r="S43" s="82"/>
      <c r="U43" s="119">
        <f t="shared" si="36"/>
        <v>44273</v>
      </c>
      <c r="V43" s="120">
        <f t="shared" si="24"/>
        <v>13850780</v>
      </c>
      <c r="W43" s="121">
        <f t="shared" si="25"/>
        <v>0.64166666666666672</v>
      </c>
      <c r="X43" s="122">
        <f t="shared" si="37"/>
        <v>5.5610370751913538E-2</v>
      </c>
      <c r="Y43" s="123">
        <f t="shared" si="26"/>
        <v>11704707.902571216</v>
      </c>
      <c r="Z43" s="124">
        <f t="shared" si="38"/>
        <v>5.2548593427136088E-2</v>
      </c>
      <c r="AA43" s="94"/>
      <c r="AB43" s="119">
        <f t="shared" si="39"/>
        <v>44273</v>
      </c>
      <c r="AC43" s="120">
        <f t="shared" si="40"/>
        <v>13924331.414027397</v>
      </c>
      <c r="AD43" s="121">
        <f t="shared" si="27"/>
        <v>0.64166666666666672</v>
      </c>
      <c r="AE43" s="122">
        <f t="shared" si="41"/>
        <v>5.5405009816535809E-2</v>
      </c>
      <c r="AF43" s="123">
        <f t="shared" si="28"/>
        <v>11645075.525319848</v>
      </c>
      <c r="AG43" s="124">
        <f t="shared" si="42"/>
        <v>5.2148619774228452E-2</v>
      </c>
      <c r="AH43" s="95"/>
    </row>
    <row r="44" spans="1:34" ht="17.25" hidden="1" customHeight="1" x14ac:dyDescent="0.25">
      <c r="A44" s="53"/>
      <c r="B44" s="125">
        <f t="shared" si="43"/>
        <v>32</v>
      </c>
      <c r="C44" s="4">
        <f t="shared" si="29"/>
        <v>32</v>
      </c>
      <c r="D44" s="7">
        <v>44305</v>
      </c>
      <c r="E44" s="132"/>
      <c r="F44" s="127">
        <f t="shared" si="44"/>
        <v>20460869</v>
      </c>
      <c r="G44" s="13">
        <v>8.4962254167039827E-2</v>
      </c>
      <c r="H44" s="127">
        <f t="shared" si="30"/>
        <v>849723</v>
      </c>
      <c r="I44" s="133">
        <f t="shared" si="31"/>
        <v>11846295</v>
      </c>
      <c r="J44" s="115">
        <f t="shared" si="45"/>
        <v>12696018</v>
      </c>
      <c r="K44" s="111">
        <f t="shared" si="32"/>
        <v>12696018</v>
      </c>
      <c r="L44" s="130">
        <f t="shared" si="33"/>
        <v>909911.35868493153</v>
      </c>
      <c r="M44" s="115">
        <f t="shared" si="34"/>
        <v>11846295</v>
      </c>
      <c r="N44" s="115">
        <f t="shared" si="35"/>
        <v>20460869</v>
      </c>
      <c r="O44" s="115">
        <f t="shared" si="22"/>
        <v>12756206.358684931</v>
      </c>
      <c r="P44" s="131">
        <f t="shared" si="23"/>
        <v>12357889.705115525</v>
      </c>
      <c r="Q44" s="117"/>
      <c r="R44" s="118"/>
      <c r="S44" s="82"/>
      <c r="U44" s="119">
        <f t="shared" si="36"/>
        <v>44305</v>
      </c>
      <c r="V44" s="120">
        <f t="shared" si="24"/>
        <v>12696018</v>
      </c>
      <c r="W44" s="121">
        <f t="shared" si="25"/>
        <v>0.73055555555555551</v>
      </c>
      <c r="X44" s="122">
        <f t="shared" si="37"/>
        <v>5.8035383338040737E-2</v>
      </c>
      <c r="Y44" s="123">
        <f t="shared" si="26"/>
        <v>10481551.690532558</v>
      </c>
      <c r="Z44" s="124">
        <f t="shared" si="38"/>
        <v>5.3575948028271807E-2</v>
      </c>
      <c r="AA44" s="94"/>
      <c r="AB44" s="119">
        <f t="shared" si="39"/>
        <v>44305</v>
      </c>
      <c r="AC44" s="120">
        <f t="shared" si="40"/>
        <v>12756206.358684931</v>
      </c>
      <c r="AD44" s="121">
        <f t="shared" si="27"/>
        <v>0.73055555555555551</v>
      </c>
      <c r="AE44" s="122">
        <f t="shared" si="41"/>
        <v>5.77883094352565E-2</v>
      </c>
      <c r="AF44" s="123">
        <f t="shared" si="28"/>
        <v>10407232.865022346</v>
      </c>
      <c r="AG44" s="124">
        <f t="shared" si="42"/>
        <v>5.3061503255588477E-2</v>
      </c>
      <c r="AH44" s="95"/>
    </row>
    <row r="45" spans="1:34" ht="17.25" hidden="1" customHeight="1" x14ac:dyDescent="0.25">
      <c r="A45" s="53"/>
      <c r="B45" s="125">
        <f t="shared" si="43"/>
        <v>29</v>
      </c>
      <c r="C45" s="4">
        <f t="shared" si="29"/>
        <v>29</v>
      </c>
      <c r="D45" s="7">
        <v>44334</v>
      </c>
      <c r="E45" s="132"/>
      <c r="F45" s="127">
        <f t="shared" si="44"/>
        <v>9241477</v>
      </c>
      <c r="G45" s="13">
        <v>8.0466072700675892E-2</v>
      </c>
      <c r="H45" s="127">
        <f t="shared" si="30"/>
        <v>487697</v>
      </c>
      <c r="I45" s="133">
        <f t="shared" si="31"/>
        <v>11219392</v>
      </c>
      <c r="J45" s="115">
        <f t="shared" si="45"/>
        <v>11707089</v>
      </c>
      <c r="K45" s="111">
        <f t="shared" si="32"/>
        <v>11707089</v>
      </c>
      <c r="L45" s="130">
        <f t="shared" si="33"/>
        <v>522242.65978424664</v>
      </c>
      <c r="M45" s="115">
        <f t="shared" si="34"/>
        <v>11219392</v>
      </c>
      <c r="N45" s="115">
        <f t="shared" si="35"/>
        <v>9241477</v>
      </c>
      <c r="O45" s="115">
        <f t="shared" si="22"/>
        <v>11741634.659784246</v>
      </c>
      <c r="P45" s="131">
        <f t="shared" si="23"/>
        <v>11424172.619140614</v>
      </c>
      <c r="Q45" s="134"/>
      <c r="R45" s="118"/>
      <c r="S45" s="52"/>
      <c r="U45" s="119">
        <f t="shared" si="36"/>
        <v>44334</v>
      </c>
      <c r="V45" s="120">
        <f t="shared" si="24"/>
        <v>11707089</v>
      </c>
      <c r="W45" s="121">
        <f t="shared" si="25"/>
        <v>0.81111111111111112</v>
      </c>
      <c r="X45" s="122">
        <f t="shared" si="37"/>
        <v>5.941571816552435E-2</v>
      </c>
      <c r="Y45" s="123">
        <f t="shared" si="26"/>
        <v>9462986.0720232967</v>
      </c>
      <c r="Z45" s="124">
        <f t="shared" si="38"/>
        <v>5.3703128696642372E-2</v>
      </c>
      <c r="AA45" s="94"/>
      <c r="AB45" s="119">
        <f t="shared" si="39"/>
        <v>44334</v>
      </c>
      <c r="AC45" s="120">
        <f t="shared" si="40"/>
        <v>11741634.659784246</v>
      </c>
      <c r="AD45" s="121">
        <f t="shared" si="27"/>
        <v>0.81111111111111112</v>
      </c>
      <c r="AE45" s="122">
        <f t="shared" si="41"/>
        <v>5.9057372294853333E-2</v>
      </c>
      <c r="AF45" s="123">
        <f t="shared" si="28"/>
        <v>9366908.657402806</v>
      </c>
      <c r="AG45" s="124">
        <f t="shared" si="42"/>
        <v>5.3023411374829965E-2</v>
      </c>
      <c r="AH45" s="95"/>
    </row>
    <row r="46" spans="1:34" ht="17.25" hidden="1" customHeight="1" x14ac:dyDescent="0.25">
      <c r="A46" s="53"/>
      <c r="B46" s="125">
        <f t="shared" ref="B46" si="46">+(D46-D45)</f>
        <v>31</v>
      </c>
      <c r="C46" s="4">
        <f t="shared" ref="C46" si="47">+B46</f>
        <v>31</v>
      </c>
      <c r="D46" s="7">
        <v>44365</v>
      </c>
      <c r="E46" s="132"/>
      <c r="F46" s="127">
        <f t="shared" si="44"/>
        <v>0</v>
      </c>
      <c r="G46" s="242">
        <v>6.6280361729372156E-2</v>
      </c>
      <c r="H46" s="127">
        <f t="shared" ref="H46" si="48">ROUND((F45*B46*$H$32/$C$31),0)</f>
        <v>235468</v>
      </c>
      <c r="I46" s="133">
        <f t="shared" ref="I46" si="49">+$F$35*G46</f>
        <v>9241477</v>
      </c>
      <c r="J46" s="115">
        <f t="shared" ref="J46" si="50">H46+I46</f>
        <v>9476945</v>
      </c>
      <c r="K46" s="111">
        <f t="shared" ref="K46" si="51">J46</f>
        <v>9476945</v>
      </c>
      <c r="L46" s="130">
        <f t="shared" ref="L46" si="52">N45*B46*$L$32/$C$31</f>
        <v>252146.73718835617</v>
      </c>
      <c r="M46" s="115">
        <f t="shared" ref="M46" si="53">+I46</f>
        <v>9241477</v>
      </c>
      <c r="N46" s="115">
        <f t="shared" ref="N46" si="54">IF((N45-M46)&lt;0,0,(N45-M46))</f>
        <v>0</v>
      </c>
      <c r="O46" s="115">
        <f t="shared" ref="O46" si="55">L46+M46</f>
        <v>9493623.737188356</v>
      </c>
      <c r="P46" s="131">
        <f t="shared" ref="P46" si="56">J46/(1+$D$20)^(B46/365)</f>
        <v>9232333.7512752824</v>
      </c>
      <c r="Q46" s="134"/>
      <c r="R46" s="136"/>
      <c r="S46" s="52"/>
      <c r="U46" s="119">
        <f t="shared" si="36"/>
        <v>44365</v>
      </c>
      <c r="V46" s="120">
        <f t="shared" si="24"/>
        <v>9476945</v>
      </c>
      <c r="W46" s="121">
        <f t="shared" ref="W46:W50" si="57">+(U46-$V$31)/365</f>
        <v>0.8849315068493151</v>
      </c>
      <c r="X46" s="122">
        <f t="shared" si="37"/>
        <v>5.2474716176593487E-2</v>
      </c>
      <c r="Y46" s="123">
        <f t="shared" si="26"/>
        <v>7513396.3186576618</v>
      </c>
      <c r="Z46" s="124">
        <f t="shared" si="38"/>
        <v>4.6519709290682137E-2</v>
      </c>
      <c r="AA46" s="94"/>
      <c r="AB46" s="119">
        <f t="shared" si="39"/>
        <v>44365</v>
      </c>
      <c r="AC46" s="120">
        <f t="shared" si="40"/>
        <v>9493623.737188356</v>
      </c>
      <c r="AD46" s="121">
        <f t="shared" ref="AD46:AD50" si="58">+(AB46-$V$31)/365</f>
        <v>0.8849315068493151</v>
      </c>
      <c r="AE46" s="122">
        <f t="shared" si="41"/>
        <v>5.2096299873288079E-2</v>
      </c>
      <c r="AF46" s="123">
        <f t="shared" si="28"/>
        <v>7419396.4277009927</v>
      </c>
      <c r="AG46" s="124">
        <f t="shared" si="42"/>
        <v>4.5821496007015884E-2</v>
      </c>
      <c r="AH46" s="95"/>
    </row>
    <row r="47" spans="1:34" ht="17.25" hidden="1" customHeight="1" x14ac:dyDescent="0.3">
      <c r="A47" s="53"/>
      <c r="B47" s="125">
        <v>0</v>
      </c>
      <c r="C47" s="4">
        <f t="shared" si="29"/>
        <v>0</v>
      </c>
      <c r="D47" s="7"/>
      <c r="E47" s="132"/>
      <c r="F47" s="127"/>
      <c r="G47" s="13"/>
      <c r="H47" s="135"/>
      <c r="I47" s="133"/>
      <c r="J47" s="115"/>
      <c r="K47" s="111"/>
      <c r="L47" s="130"/>
      <c r="M47" s="115"/>
      <c r="N47" s="115"/>
      <c r="O47" s="115"/>
      <c r="P47" s="131"/>
      <c r="Q47" s="137"/>
      <c r="R47" s="138"/>
      <c r="S47" s="52"/>
      <c r="U47" s="119">
        <f t="shared" si="36"/>
        <v>0</v>
      </c>
      <c r="V47" s="120">
        <f t="shared" si="24"/>
        <v>0</v>
      </c>
      <c r="W47" s="121">
        <f t="shared" si="57"/>
        <v>-120.66301369863014</v>
      </c>
      <c r="X47" s="122">
        <f t="shared" si="37"/>
        <v>0</v>
      </c>
      <c r="Y47" s="123">
        <f t="shared" si="26"/>
        <v>0</v>
      </c>
      <c r="Z47" s="124">
        <f t="shared" si="38"/>
        <v>0</v>
      </c>
      <c r="AA47" s="94"/>
      <c r="AB47" s="119">
        <f t="shared" si="39"/>
        <v>0</v>
      </c>
      <c r="AC47" s="120">
        <f t="shared" si="40"/>
        <v>0</v>
      </c>
      <c r="AD47" s="121">
        <f t="shared" si="58"/>
        <v>-120.66301369863014</v>
      </c>
      <c r="AE47" s="122">
        <f t="shared" si="41"/>
        <v>0</v>
      </c>
      <c r="AF47" s="123">
        <f t="shared" si="28"/>
        <v>0</v>
      </c>
      <c r="AG47" s="124">
        <f t="shared" si="42"/>
        <v>0</v>
      </c>
      <c r="AH47" s="95"/>
    </row>
    <row r="48" spans="1:34" ht="17.25" hidden="1" customHeight="1" x14ac:dyDescent="0.3">
      <c r="A48" s="53"/>
      <c r="B48" s="125">
        <f t="shared" si="43"/>
        <v>0</v>
      </c>
      <c r="C48" s="4">
        <f t="shared" si="29"/>
        <v>0</v>
      </c>
      <c r="D48" s="7"/>
      <c r="E48" s="132"/>
      <c r="F48" s="127"/>
      <c r="G48" s="13"/>
      <c r="H48" s="135"/>
      <c r="I48" s="133"/>
      <c r="J48" s="115"/>
      <c r="K48" s="111"/>
      <c r="L48" s="130"/>
      <c r="M48" s="115"/>
      <c r="N48" s="115"/>
      <c r="O48" s="115"/>
      <c r="P48" s="131"/>
      <c r="Q48" s="137"/>
      <c r="R48" s="17"/>
      <c r="S48" s="52"/>
      <c r="U48" s="119">
        <f t="shared" si="36"/>
        <v>0</v>
      </c>
      <c r="V48" s="120">
        <f t="shared" si="24"/>
        <v>0</v>
      </c>
      <c r="W48" s="121">
        <f t="shared" si="57"/>
        <v>-120.66301369863014</v>
      </c>
      <c r="X48" s="122">
        <f t="shared" si="37"/>
        <v>0</v>
      </c>
      <c r="Y48" s="123">
        <f t="shared" si="26"/>
        <v>0</v>
      </c>
      <c r="Z48" s="124">
        <f t="shared" si="38"/>
        <v>0</v>
      </c>
      <c r="AA48" s="94"/>
      <c r="AB48" s="119">
        <f t="shared" si="39"/>
        <v>0</v>
      </c>
      <c r="AC48" s="120">
        <f t="shared" si="40"/>
        <v>0</v>
      </c>
      <c r="AD48" s="121">
        <f t="shared" si="58"/>
        <v>-120.66301369863014</v>
      </c>
      <c r="AE48" s="122">
        <f t="shared" si="41"/>
        <v>0</v>
      </c>
      <c r="AF48" s="123">
        <f t="shared" si="28"/>
        <v>0</v>
      </c>
      <c r="AG48" s="124">
        <f t="shared" si="42"/>
        <v>0</v>
      </c>
      <c r="AH48" s="95"/>
    </row>
    <row r="49" spans="1:34" ht="17.25" hidden="1" customHeight="1" thickBot="1" x14ac:dyDescent="0.35">
      <c r="A49" s="53"/>
      <c r="B49" s="125">
        <f t="shared" si="43"/>
        <v>0</v>
      </c>
      <c r="C49" s="4">
        <f t="shared" si="29"/>
        <v>0</v>
      </c>
      <c r="D49" s="8"/>
      <c r="E49" s="132"/>
      <c r="F49" s="127"/>
      <c r="G49" s="13"/>
      <c r="H49" s="135"/>
      <c r="I49" s="139"/>
      <c r="J49" s="140"/>
      <c r="K49" s="141"/>
      <c r="L49" s="142"/>
      <c r="M49" s="140"/>
      <c r="N49" s="140"/>
      <c r="O49" s="140"/>
      <c r="P49" s="143"/>
      <c r="Q49" s="137"/>
      <c r="R49" s="17"/>
      <c r="S49" s="52"/>
      <c r="U49" s="119">
        <f t="shared" si="36"/>
        <v>0</v>
      </c>
      <c r="V49" s="120">
        <f t="shared" si="24"/>
        <v>0</v>
      </c>
      <c r="W49" s="121">
        <f t="shared" si="57"/>
        <v>-120.66301369863014</v>
      </c>
      <c r="X49" s="122">
        <f t="shared" si="37"/>
        <v>0</v>
      </c>
      <c r="Y49" s="123">
        <f t="shared" si="26"/>
        <v>0</v>
      </c>
      <c r="Z49" s="124">
        <f t="shared" si="38"/>
        <v>0</v>
      </c>
      <c r="AA49" s="94"/>
      <c r="AB49" s="119">
        <f t="shared" si="39"/>
        <v>0</v>
      </c>
      <c r="AC49" s="120">
        <f t="shared" si="40"/>
        <v>0</v>
      </c>
      <c r="AD49" s="121">
        <f t="shared" si="58"/>
        <v>-120.66301369863014</v>
      </c>
      <c r="AE49" s="122">
        <f t="shared" si="41"/>
        <v>0</v>
      </c>
      <c r="AF49" s="123">
        <f t="shared" si="28"/>
        <v>0</v>
      </c>
      <c r="AG49" s="124">
        <f t="shared" si="42"/>
        <v>0</v>
      </c>
      <c r="AH49" s="95"/>
    </row>
    <row r="50" spans="1:34" ht="17.25" hidden="1" customHeight="1" thickBot="1" x14ac:dyDescent="0.35">
      <c r="A50" s="53"/>
      <c r="B50" s="144"/>
      <c r="C50" s="9"/>
      <c r="D50" s="8"/>
      <c r="E50" s="145"/>
      <c r="F50" s="145"/>
      <c r="G50" s="10"/>
      <c r="H50" s="10"/>
      <c r="I50" s="139"/>
      <c r="J50" s="140">
        <f>H50+I50</f>
        <v>0</v>
      </c>
      <c r="K50" s="141">
        <f t="shared" si="32"/>
        <v>0</v>
      </c>
      <c r="L50" s="142"/>
      <c r="M50" s="140">
        <f>+IF(N49&gt;(K50-L50),+IF(L50&gt;0,K50-L50,0),N49)</f>
        <v>0</v>
      </c>
      <c r="N50" s="140"/>
      <c r="O50" s="140">
        <f t="shared" si="22"/>
        <v>0</v>
      </c>
      <c r="P50" s="143">
        <f t="shared" si="23"/>
        <v>0</v>
      </c>
      <c r="Q50" s="137"/>
      <c r="R50" s="17"/>
      <c r="S50" s="56"/>
      <c r="U50" s="119">
        <f t="shared" si="36"/>
        <v>0</v>
      </c>
      <c r="V50" s="120">
        <f t="shared" si="24"/>
        <v>0</v>
      </c>
      <c r="W50" s="121">
        <f t="shared" si="57"/>
        <v>-120.66301369863014</v>
      </c>
      <c r="X50" s="122">
        <f t="shared" si="37"/>
        <v>0</v>
      </c>
      <c r="Y50" s="123">
        <f t="shared" si="26"/>
        <v>0</v>
      </c>
      <c r="Z50" s="124">
        <f t="shared" si="38"/>
        <v>0</v>
      </c>
      <c r="AA50" s="94"/>
      <c r="AB50" s="119">
        <f t="shared" si="39"/>
        <v>0</v>
      </c>
      <c r="AC50" s="120">
        <f t="shared" si="40"/>
        <v>0</v>
      </c>
      <c r="AD50" s="121">
        <f t="shared" si="58"/>
        <v>-120.66301369863014</v>
      </c>
      <c r="AE50" s="122">
        <f t="shared" si="41"/>
        <v>0</v>
      </c>
      <c r="AF50" s="123">
        <f t="shared" si="28"/>
        <v>0</v>
      </c>
      <c r="AG50" s="124">
        <f t="shared" si="42"/>
        <v>0</v>
      </c>
      <c r="AH50" s="95"/>
    </row>
    <row r="51" spans="1:34" ht="17.25" hidden="1" customHeight="1" thickBot="1" x14ac:dyDescent="0.3">
      <c r="A51" s="53"/>
      <c r="B51" s="146"/>
      <c r="C51" s="146"/>
      <c r="D51" s="146"/>
      <c r="E51" s="146"/>
      <c r="F51" s="146"/>
      <c r="G51" s="147"/>
      <c r="H51" s="148"/>
      <c r="I51" s="146"/>
      <c r="J51" s="146"/>
      <c r="K51" s="146"/>
      <c r="L51" s="146"/>
      <c r="M51" s="146"/>
      <c r="N51" s="146"/>
      <c r="O51" s="146"/>
      <c r="P51" s="146"/>
      <c r="Q51" s="146"/>
      <c r="R51" s="146"/>
      <c r="S51" s="56"/>
      <c r="U51" s="149" t="s">
        <v>18</v>
      </c>
      <c r="V51" s="150">
        <f>SUM(V36:V49)</f>
        <v>159818820</v>
      </c>
      <c r="W51" s="121"/>
      <c r="X51" s="150">
        <f>SUM(X36:X49)</f>
        <v>0.43445549396887384</v>
      </c>
      <c r="Y51" s="150">
        <f>SUM(Y36:Y49)</f>
        <v>142925250.97867668</v>
      </c>
      <c r="Z51" s="151">
        <f>SUM(Z36:Z46)</f>
        <v>0.4172135652144785</v>
      </c>
      <c r="AA51" s="94" t="s">
        <v>20</v>
      </c>
      <c r="AB51" s="149" t="s">
        <v>18</v>
      </c>
      <c r="AC51" s="150">
        <f>SUM(AC36:AC49)</f>
        <v>161263022.12718496</v>
      </c>
      <c r="AD51" s="121"/>
      <c r="AE51" s="150">
        <f>SUM(AE36:AE49)</f>
        <v>0.43339823856811294</v>
      </c>
      <c r="AF51" s="150">
        <f>SUM(AF36:AF46)</f>
        <v>143287719.36369285</v>
      </c>
      <c r="AG51" s="151">
        <f>SUM(AG36:AG46)</f>
        <v>0.41510988243817787</v>
      </c>
      <c r="AH51" s="95" t="s">
        <v>20</v>
      </c>
    </row>
    <row r="52" spans="1:34" ht="15.75" hidden="1" customHeight="1" thickBot="1" x14ac:dyDescent="0.3">
      <c r="A52" s="53"/>
      <c r="B52" s="152"/>
      <c r="C52" s="152"/>
      <c r="D52" s="17"/>
      <c r="E52" s="17"/>
      <c r="F52" s="17"/>
      <c r="G52" s="17"/>
      <c r="H52" s="17"/>
      <c r="I52" s="17"/>
      <c r="J52" s="17"/>
      <c r="K52" s="17"/>
      <c r="L52" s="17"/>
      <c r="M52" s="17"/>
      <c r="N52" s="17"/>
      <c r="O52" s="17"/>
      <c r="P52" s="17"/>
      <c r="Q52" s="146"/>
      <c r="R52" s="146"/>
      <c r="S52" s="56"/>
      <c r="U52" s="153"/>
      <c r="V52" s="154"/>
      <c r="W52" s="155"/>
      <c r="X52" s="156">
        <f>+X51*12</f>
        <v>5.2134659276264861</v>
      </c>
      <c r="Y52" s="157"/>
      <c r="Z52" s="158">
        <f>+Z51*12</f>
        <v>5.0065627825737415</v>
      </c>
      <c r="AA52" s="159" t="s">
        <v>21</v>
      </c>
      <c r="AB52" s="153"/>
      <c r="AC52" s="154"/>
      <c r="AD52" s="155"/>
      <c r="AE52" s="156">
        <f>+AE51*12</f>
        <v>5.200778862817355</v>
      </c>
      <c r="AF52" s="157"/>
      <c r="AG52" s="160">
        <f>+AG51*12</f>
        <v>4.9813185892581346</v>
      </c>
      <c r="AH52" s="161" t="s">
        <v>21</v>
      </c>
    </row>
    <row r="53" spans="1:34" s="177" customFormat="1" ht="15.75" hidden="1" customHeight="1" thickBot="1" x14ac:dyDescent="0.3">
      <c r="A53" s="162"/>
      <c r="B53" s="152"/>
      <c r="C53" s="152"/>
      <c r="D53" s="163" t="s">
        <v>5</v>
      </c>
      <c r="E53" s="164"/>
      <c r="F53" s="165"/>
      <c r="G53" s="165"/>
      <c r="H53" s="145">
        <f>SUM(H36:H51)</f>
        <v>20388727</v>
      </c>
      <c r="I53" s="145">
        <f>SUM(I36:I51)</f>
        <v>139430093</v>
      </c>
      <c r="J53" s="166">
        <f>SUM(J36:J51)</f>
        <v>159818820</v>
      </c>
      <c r="K53" s="167"/>
      <c r="L53" s="168">
        <f>SUM(L36:L51)</f>
        <v>21832929.127184931</v>
      </c>
      <c r="M53" s="168">
        <f>SUM(M36:M51)</f>
        <v>139430093</v>
      </c>
      <c r="N53" s="165"/>
      <c r="O53" s="169">
        <f>SUM(O36:O51)</f>
        <v>161263022.12718496</v>
      </c>
      <c r="P53" s="55"/>
      <c r="Q53" s="146"/>
      <c r="R53" s="146"/>
      <c r="S53" s="56"/>
      <c r="T53" s="20"/>
      <c r="U53" s="170"/>
      <c r="V53" s="171"/>
      <c r="W53" s="170"/>
      <c r="X53" s="170"/>
      <c r="Y53" s="170">
        <f>+Z53/30</f>
        <v>10.766666666666667</v>
      </c>
      <c r="Z53" s="172">
        <f>+U46-V31</f>
        <v>323</v>
      </c>
      <c r="AA53" s="173" t="s">
        <v>15</v>
      </c>
      <c r="AB53" s="153"/>
      <c r="AC53" s="154"/>
      <c r="AD53" s="174"/>
      <c r="AE53" s="174"/>
      <c r="AF53" s="174"/>
      <c r="AG53" s="175">
        <f>+AB46-AC31</f>
        <v>323</v>
      </c>
      <c r="AH53" s="176" t="s">
        <v>15</v>
      </c>
    </row>
    <row r="54" spans="1:34" ht="15" hidden="1" customHeight="1" x14ac:dyDescent="0.25">
      <c r="A54" s="53"/>
      <c r="B54" s="18"/>
      <c r="C54" s="19"/>
      <c r="D54" s="178"/>
      <c r="E54" s="178"/>
      <c r="F54" s="146"/>
      <c r="G54" s="146"/>
      <c r="H54" s="146"/>
      <c r="I54" s="146"/>
      <c r="J54" s="146"/>
      <c r="K54" s="146"/>
      <c r="L54" s="146"/>
      <c r="M54" s="146"/>
      <c r="N54" s="146"/>
      <c r="O54" s="146"/>
      <c r="P54" s="146"/>
      <c r="Q54" s="146"/>
      <c r="R54" s="146"/>
      <c r="S54" s="56"/>
      <c r="U54" s="1"/>
      <c r="V54" s="1"/>
      <c r="W54" s="1"/>
      <c r="X54" s="2"/>
      <c r="Y54" s="179"/>
      <c r="AA54" s="2"/>
    </row>
    <row r="55" spans="1:34" ht="15" hidden="1" customHeight="1" x14ac:dyDescent="0.25">
      <c r="A55" s="53"/>
      <c r="B55" s="18"/>
      <c r="C55" s="19"/>
      <c r="D55" s="178"/>
      <c r="E55" s="178"/>
      <c r="F55" s="146"/>
      <c r="G55" s="146"/>
      <c r="H55" s="146"/>
      <c r="I55" s="146"/>
      <c r="J55" s="146"/>
      <c r="K55" s="146"/>
      <c r="L55" s="146"/>
      <c r="M55" s="146"/>
      <c r="N55" s="146"/>
      <c r="O55" s="146"/>
      <c r="P55" s="146"/>
      <c r="Q55" s="146"/>
      <c r="R55" s="146"/>
      <c r="S55" s="56"/>
      <c r="U55" s="1"/>
      <c r="V55" s="1"/>
      <c r="W55" s="1"/>
      <c r="X55" s="2"/>
      <c r="Y55" s="179"/>
      <c r="AA55" s="2"/>
    </row>
    <row r="56" spans="1:34" ht="19.5" customHeight="1" x14ac:dyDescent="0.25">
      <c r="A56" s="53"/>
      <c r="B56" s="18"/>
      <c r="C56" s="19"/>
      <c r="D56" s="178"/>
      <c r="E56" s="178"/>
      <c r="F56" s="146"/>
      <c r="G56" s="146"/>
      <c r="H56" s="146"/>
      <c r="I56" s="146"/>
      <c r="J56" s="146"/>
      <c r="K56" s="146"/>
      <c r="L56" s="146"/>
      <c r="M56" s="146"/>
      <c r="N56" s="146"/>
      <c r="O56" s="146"/>
      <c r="P56" s="146"/>
      <c r="Q56" s="146"/>
      <c r="R56" s="146"/>
      <c r="S56" s="56"/>
      <c r="U56" s="1"/>
      <c r="V56" s="1"/>
      <c r="W56" s="1"/>
      <c r="X56" s="2"/>
      <c r="Y56" s="179"/>
      <c r="AA56" s="2"/>
    </row>
    <row r="57" spans="1:34" ht="15.75" customHeight="1" x14ac:dyDescent="0.25">
      <c r="A57" s="17"/>
      <c r="B57" s="18"/>
      <c r="C57" s="19"/>
      <c r="D57" s="17"/>
      <c r="E57" s="17"/>
      <c r="F57" s="17"/>
      <c r="G57" s="17"/>
      <c r="H57" s="17"/>
      <c r="I57" s="17"/>
      <c r="J57" s="17"/>
      <c r="K57" s="17"/>
      <c r="L57" s="17"/>
      <c r="M57" s="17"/>
      <c r="N57" s="17"/>
      <c r="O57" s="17"/>
      <c r="P57" s="17"/>
      <c r="Q57" s="17"/>
      <c r="R57" s="17"/>
      <c r="S57" s="56"/>
    </row>
    <row r="58" spans="1:34" x14ac:dyDescent="0.25">
      <c r="C58" s="180"/>
      <c r="D58" s="180"/>
      <c r="E58" s="180"/>
      <c r="F58" s="180"/>
      <c r="G58" s="180"/>
      <c r="H58" s="180"/>
      <c r="I58" s="180"/>
      <c r="J58" s="180"/>
      <c r="K58" s="180"/>
      <c r="L58" s="180"/>
      <c r="M58" s="180"/>
      <c r="N58" s="21"/>
      <c r="O58" s="21"/>
      <c r="P58" s="21"/>
      <c r="Q58" s="21"/>
      <c r="R58" s="21"/>
      <c r="S58" s="20"/>
    </row>
    <row r="59" spans="1:34" x14ac:dyDescent="0.25">
      <c r="C59" s="180"/>
      <c r="D59" s="180"/>
      <c r="E59" s="180"/>
      <c r="F59" s="180"/>
      <c r="G59" s="180"/>
      <c r="H59" s="180"/>
      <c r="I59" s="180"/>
      <c r="J59" s="180"/>
      <c r="K59" s="180"/>
      <c r="L59" s="180"/>
      <c r="M59" s="180"/>
      <c r="S59" s="20"/>
      <c r="W59" s="181"/>
      <c r="X59" s="1"/>
    </row>
    <row r="60" spans="1:34" x14ac:dyDescent="0.25">
      <c r="C60" s="180"/>
      <c r="D60" s="180"/>
      <c r="E60" s="180"/>
      <c r="F60" s="180"/>
      <c r="G60" s="180"/>
      <c r="H60" s="180"/>
      <c r="I60" s="180"/>
      <c r="J60" s="180"/>
      <c r="K60" s="180"/>
      <c r="L60" s="180"/>
      <c r="M60" s="180"/>
      <c r="S60" s="20"/>
    </row>
    <row r="61" spans="1:34" x14ac:dyDescent="0.25">
      <c r="C61" s="180"/>
      <c r="D61" s="180"/>
      <c r="E61" s="180"/>
      <c r="F61" s="180"/>
      <c r="G61" s="180"/>
      <c r="H61" s="180"/>
      <c r="I61" s="180"/>
      <c r="J61" s="180"/>
      <c r="K61" s="180"/>
      <c r="L61" s="180"/>
      <c r="M61" s="180"/>
      <c r="S61" s="20"/>
    </row>
    <row r="62" spans="1:34" x14ac:dyDescent="0.25">
      <c r="C62" s="180"/>
      <c r="D62" s="180"/>
      <c r="E62" s="180"/>
      <c r="F62" s="180"/>
      <c r="G62" s="180"/>
      <c r="H62" s="182"/>
      <c r="I62" s="182"/>
      <c r="J62" s="180"/>
      <c r="K62" s="180"/>
      <c r="L62" s="180"/>
      <c r="M62" s="180"/>
    </row>
    <row r="63" spans="1:34" x14ac:dyDescent="0.25">
      <c r="C63" s="180"/>
      <c r="D63" s="180"/>
      <c r="E63" s="180"/>
      <c r="F63" s="180"/>
      <c r="G63" s="180"/>
      <c r="H63" s="182"/>
      <c r="I63" s="182"/>
      <c r="J63" s="180"/>
      <c r="K63" s="180"/>
      <c r="L63" s="180"/>
      <c r="M63" s="180"/>
    </row>
    <row r="64" spans="1:34" x14ac:dyDescent="0.25">
      <c r="C64" s="180"/>
      <c r="D64" s="180"/>
      <c r="E64" s="180"/>
      <c r="F64" s="180"/>
      <c r="G64" s="180"/>
      <c r="H64" s="182"/>
      <c r="I64" s="182"/>
      <c r="J64" s="180"/>
      <c r="K64" s="180"/>
      <c r="L64" s="180"/>
      <c r="M64" s="180"/>
    </row>
    <row r="65" spans="3:13" x14ac:dyDescent="0.25">
      <c r="C65" s="180"/>
      <c r="D65" s="180"/>
      <c r="E65" s="180"/>
      <c r="F65" s="180"/>
      <c r="G65" s="180"/>
      <c r="H65" s="182"/>
      <c r="I65" s="182"/>
      <c r="J65" s="180"/>
      <c r="K65" s="180"/>
      <c r="L65" s="180"/>
      <c r="M65" s="180"/>
    </row>
    <row r="66" spans="3:13" x14ac:dyDescent="0.25">
      <c r="C66" s="180"/>
      <c r="D66" s="180"/>
      <c r="E66" s="180"/>
      <c r="F66" s="180"/>
      <c r="G66" s="180"/>
      <c r="H66" s="182"/>
      <c r="I66" s="182"/>
      <c r="J66" s="180"/>
      <c r="K66" s="180"/>
      <c r="L66" s="180"/>
      <c r="M66" s="180"/>
    </row>
    <row r="67" spans="3:13" x14ac:dyDescent="0.25">
      <c r="C67" s="180"/>
      <c r="D67" s="180"/>
      <c r="E67" s="180"/>
      <c r="F67" s="180"/>
      <c r="G67" s="180"/>
      <c r="H67" s="182"/>
      <c r="I67" s="182"/>
      <c r="J67" s="180"/>
      <c r="K67" s="180"/>
      <c r="L67" s="180"/>
      <c r="M67" s="180"/>
    </row>
    <row r="68" spans="3:13" x14ac:dyDescent="0.25">
      <c r="C68" s="180"/>
      <c r="D68" s="180"/>
      <c r="E68" s="180"/>
      <c r="F68" s="180"/>
      <c r="G68" s="180"/>
      <c r="H68" s="180"/>
      <c r="I68" s="180"/>
      <c r="J68" s="180"/>
      <c r="K68" s="180"/>
      <c r="L68" s="180"/>
      <c r="M68" s="180"/>
    </row>
  </sheetData>
  <sheetProtection algorithmName="SHA-512" hashValue="Kuo8Voq2rUH2f0lz6u5I2sGOMV85I0yiH4b9ll44N3GHWEBb/eTOuxU+DhwKgH3VkTMOZNh49kGc1pvCV/+nbg==" saltValue="RplBatT0UXUfPpII3IADfQ==" spinCount="100000" sheet="1" selectLockedCells="1"/>
  <protectedRanges>
    <protectedRange sqref="D13:D14" name="Rango1"/>
  </protectedRanges>
  <mergeCells count="46">
    <mergeCell ref="AE31:AG31"/>
    <mergeCell ref="B15:C15"/>
    <mergeCell ref="B21:C21"/>
    <mergeCell ref="F33:F34"/>
    <mergeCell ref="B16:C16"/>
    <mergeCell ref="H33:H34"/>
    <mergeCell ref="O33:O34"/>
    <mergeCell ref="G33:G34"/>
    <mergeCell ref="B18:C18"/>
    <mergeCell ref="I33:I34"/>
    <mergeCell ref="D33:D34"/>
    <mergeCell ref="F30:J30"/>
    <mergeCell ref="K30:P30"/>
    <mergeCell ref="N33:N34"/>
    <mergeCell ref="J33:J34"/>
    <mergeCell ref="K33:K34"/>
    <mergeCell ref="X31:Z31"/>
    <mergeCell ref="I8:I9"/>
    <mergeCell ref="P7:R25"/>
    <mergeCell ref="H7:M7"/>
    <mergeCell ref="B22:C22"/>
    <mergeCell ref="B14:C14"/>
    <mergeCell ref="B8:C8"/>
    <mergeCell ref="B11:C11"/>
    <mergeCell ref="J8:J9"/>
    <mergeCell ref="K8:K9"/>
    <mergeCell ref="B23:C23"/>
    <mergeCell ref="B24:C24"/>
    <mergeCell ref="B17:C17"/>
    <mergeCell ref="B20:C20"/>
    <mergeCell ref="B19:C19"/>
    <mergeCell ref="B13:C13"/>
    <mergeCell ref="H1:M1"/>
    <mergeCell ref="B10:C10"/>
    <mergeCell ref="H3:M3"/>
    <mergeCell ref="B9:C9"/>
    <mergeCell ref="B12:C12"/>
    <mergeCell ref="L8:L9"/>
    <mergeCell ref="M8:M9"/>
    <mergeCell ref="B7:C7"/>
    <mergeCell ref="Q34:R34"/>
    <mergeCell ref="Q33:R33"/>
    <mergeCell ref="H2:M2"/>
    <mergeCell ref="H6:M6"/>
    <mergeCell ref="H8:H9"/>
    <mergeCell ref="P33:P34"/>
  </mergeCells>
  <pageMargins left="0.70866141732283472" right="0.70866141732283472" top="0.74803149606299213" bottom="0.74803149606299213" header="0.31496062992125984" footer="0.31496062992125984"/>
  <pageSetup paperSize="9" scale="78"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67"/>
  <sheetViews>
    <sheetView zoomScale="80" zoomScaleNormal="80" workbookViewId="0">
      <selection activeCell="D13" sqref="D13"/>
    </sheetView>
  </sheetViews>
  <sheetFormatPr baseColWidth="10" defaultRowHeight="15" x14ac:dyDescent="0.25"/>
  <cols>
    <col min="1" max="1" width="2.140625" style="22" customWidth="1"/>
    <col min="2" max="2" width="15.42578125" style="180" customWidth="1"/>
    <col min="3" max="3" width="10.42578125" style="183" customWidth="1"/>
    <col min="4" max="4" width="14.5703125" style="22" customWidth="1"/>
    <col min="5" max="5" width="3.5703125" style="22" customWidth="1"/>
    <col min="6" max="6" width="11.42578125" style="22" hidden="1" customWidth="1"/>
    <col min="7" max="7" width="9.42578125" style="22" hidden="1" customWidth="1"/>
    <col min="8" max="8" width="13" style="22" customWidth="1"/>
    <col min="9" max="9" width="13.85546875" style="22" bestFit="1" customWidth="1"/>
    <col min="10" max="10" width="12.5703125" style="22" customWidth="1"/>
    <col min="11" max="11" width="12.42578125" style="22" customWidth="1"/>
    <col min="12" max="12" width="14.85546875" style="22" customWidth="1"/>
    <col min="13" max="13" width="13.42578125" style="22" customWidth="1"/>
    <col min="14" max="14" width="15.5703125" style="22" hidden="1" customWidth="1"/>
    <col min="15" max="15" width="11.42578125" style="22" bestFit="1" customWidth="1"/>
    <col min="16" max="16" width="9.140625" style="22" customWidth="1"/>
    <col min="17" max="17" width="16.5703125" style="22" customWidth="1"/>
    <col min="18" max="18" width="14.7109375" style="22" customWidth="1"/>
    <col min="19" max="19" width="2.7109375" style="22" customWidth="1"/>
    <col min="20" max="20" width="4.140625" style="20" customWidth="1"/>
    <col min="21" max="21" width="12" style="20" bestFit="1" customWidth="1"/>
    <col min="22" max="22" width="12.140625" style="20" bestFit="1" customWidth="1"/>
    <col min="23" max="23" width="10.7109375" style="21" customWidth="1"/>
    <col min="24" max="24" width="14.7109375" style="21" bestFit="1" customWidth="1"/>
    <col min="25" max="25" width="12.28515625" style="22" bestFit="1" customWidth="1"/>
    <col min="26" max="26" width="9.28515625" style="22" bestFit="1" customWidth="1"/>
    <col min="27" max="27" width="16" style="22" bestFit="1" customWidth="1"/>
    <col min="28" max="28" width="12" style="22" bestFit="1" customWidth="1"/>
    <col min="29" max="29" width="12.140625" style="22" bestFit="1" customWidth="1"/>
    <col min="30" max="30" width="8.85546875" style="22" bestFit="1" customWidth="1"/>
    <col min="31" max="31" width="15.5703125" style="22" bestFit="1" customWidth="1"/>
    <col min="32" max="32" width="12.28515625" style="22" bestFit="1" customWidth="1"/>
    <col min="33" max="33" width="9.28515625" style="22" bestFit="1" customWidth="1"/>
    <col min="34" max="34" width="16" style="22" bestFit="1" customWidth="1"/>
    <col min="35" max="35" width="11.42578125" style="22" customWidth="1"/>
    <col min="36" max="16384" width="11.42578125" style="22"/>
  </cols>
  <sheetData>
    <row r="1" spans="1:19" ht="37.5" customHeight="1" x14ac:dyDescent="0.45">
      <c r="A1" s="17"/>
      <c r="B1" s="18"/>
      <c r="C1" s="19"/>
      <c r="D1" s="17"/>
      <c r="E1" s="17"/>
      <c r="F1" s="17"/>
      <c r="G1" s="17"/>
      <c r="H1" s="308" t="str">
        <f>'VDF A'!H1:M1</f>
        <v>Fideicomiso Financiero Mutual 17 de Enero</v>
      </c>
      <c r="I1" s="308"/>
      <c r="J1" s="308"/>
      <c r="K1" s="308"/>
      <c r="L1" s="308"/>
      <c r="M1" s="308"/>
      <c r="N1" s="17"/>
      <c r="O1" s="17"/>
      <c r="P1" s="17"/>
      <c r="Q1" s="17"/>
      <c r="R1" s="17"/>
      <c r="S1" s="17"/>
    </row>
    <row r="2" spans="1:19" ht="18.75" x14ac:dyDescent="0.3">
      <c r="A2" s="17"/>
      <c r="B2" s="18"/>
      <c r="C2" s="19"/>
      <c r="D2" s="17"/>
      <c r="E2" s="17"/>
      <c r="F2" s="17"/>
      <c r="G2" s="17"/>
      <c r="H2" s="248" t="str">
        <f>+'VDF A'!H2:M2</f>
        <v>VN: $ 204.497.470</v>
      </c>
      <c r="I2" s="248"/>
      <c r="J2" s="248"/>
      <c r="K2" s="248"/>
      <c r="L2" s="248"/>
      <c r="M2" s="248"/>
      <c r="N2" s="17"/>
      <c r="O2" s="17"/>
      <c r="P2" s="17"/>
      <c r="Q2" s="23"/>
      <c r="R2" s="24"/>
      <c r="S2" s="24"/>
    </row>
    <row r="3" spans="1:19" ht="18.75" customHeight="1" x14ac:dyDescent="0.3">
      <c r="A3" s="17"/>
      <c r="B3" s="18"/>
      <c r="C3" s="19"/>
      <c r="D3" s="17"/>
      <c r="E3" s="17"/>
      <c r="F3" s="17"/>
      <c r="G3" s="17"/>
      <c r="H3" s="248" t="s">
        <v>34</v>
      </c>
      <c r="I3" s="248"/>
      <c r="J3" s="248"/>
      <c r="K3" s="248"/>
      <c r="L3" s="248"/>
      <c r="M3" s="248"/>
      <c r="N3" s="17"/>
      <c r="O3" s="17"/>
      <c r="P3" s="17"/>
      <c r="Q3" s="25"/>
      <c r="R3" s="17"/>
      <c r="S3" s="17"/>
    </row>
    <row r="4" spans="1:19" ht="18.75" customHeight="1" x14ac:dyDescent="0.3">
      <c r="A4" s="17"/>
      <c r="B4" s="18"/>
      <c r="C4" s="19"/>
      <c r="D4" s="17"/>
      <c r="E4" s="17"/>
      <c r="F4" s="17"/>
      <c r="G4" s="17"/>
      <c r="H4" s="26"/>
      <c r="I4" s="26"/>
      <c r="J4" s="26"/>
      <c r="K4" s="26"/>
      <c r="L4" s="26"/>
      <c r="M4" s="26"/>
      <c r="N4" s="17"/>
      <c r="O4" s="17"/>
      <c r="P4" s="17"/>
      <c r="Q4" s="25"/>
      <c r="R4" s="17"/>
      <c r="S4" s="17"/>
    </row>
    <row r="5" spans="1:19" ht="15.75" x14ac:dyDescent="0.25">
      <c r="A5" s="17"/>
      <c r="B5" s="18"/>
      <c r="C5" s="19"/>
      <c r="D5" s="17"/>
      <c r="E5" s="17"/>
      <c r="F5" s="17"/>
      <c r="G5" s="17"/>
      <c r="H5" s="27"/>
      <c r="I5" s="27"/>
      <c r="J5" s="27"/>
      <c r="K5" s="27"/>
      <c r="L5" s="27"/>
      <c r="M5" s="27"/>
      <c r="N5" s="17"/>
      <c r="O5" s="17"/>
      <c r="P5" s="17"/>
      <c r="Q5" s="25"/>
      <c r="R5" s="17"/>
      <c r="S5" s="17"/>
    </row>
    <row r="6" spans="1:19" ht="15.75" customHeight="1" x14ac:dyDescent="0.25">
      <c r="A6" s="17"/>
      <c r="B6" s="18"/>
      <c r="C6" s="19"/>
      <c r="D6" s="17"/>
      <c r="E6" s="17"/>
      <c r="F6" s="17"/>
      <c r="G6" s="17"/>
      <c r="H6" s="249" t="s">
        <v>55</v>
      </c>
      <c r="I6" s="250"/>
      <c r="J6" s="250"/>
      <c r="K6" s="250"/>
      <c r="L6" s="250"/>
      <c r="M6" s="251"/>
      <c r="N6" s="17"/>
      <c r="O6" s="17"/>
      <c r="P6" s="17"/>
      <c r="Q6" s="25"/>
      <c r="R6" s="17"/>
      <c r="S6" s="17"/>
    </row>
    <row r="7" spans="1:19" ht="15.75" customHeight="1" x14ac:dyDescent="0.25">
      <c r="A7" s="17"/>
      <c r="B7" s="262" t="s">
        <v>40</v>
      </c>
      <c r="C7" s="263"/>
      <c r="D7" s="229">
        <f>+'VDF A'!D7</f>
        <v>44042</v>
      </c>
      <c r="E7" s="28"/>
      <c r="F7" s="29"/>
      <c r="G7" s="184"/>
      <c r="H7" s="278" t="s">
        <v>50</v>
      </c>
      <c r="I7" s="279"/>
      <c r="J7" s="279"/>
      <c r="K7" s="279"/>
      <c r="L7" s="279"/>
      <c r="M7" s="280"/>
      <c r="N7" s="185"/>
      <c r="O7" s="30"/>
      <c r="P7" s="269" t="s">
        <v>51</v>
      </c>
      <c r="Q7" s="270"/>
      <c r="R7" s="271"/>
      <c r="S7" s="29"/>
    </row>
    <row r="8" spans="1:19" ht="15.75" customHeight="1" x14ac:dyDescent="0.25">
      <c r="A8" s="17"/>
      <c r="B8" s="256" t="s">
        <v>59</v>
      </c>
      <c r="C8" s="257"/>
      <c r="D8" s="230">
        <f>+'VDF A'!D8</f>
        <v>44027</v>
      </c>
      <c r="E8" s="31"/>
      <c r="F8" s="29"/>
      <c r="G8" s="186"/>
      <c r="H8" s="252" t="s">
        <v>35</v>
      </c>
      <c r="I8" s="267" t="s">
        <v>45</v>
      </c>
      <c r="J8" s="258" t="s">
        <v>46</v>
      </c>
      <c r="K8" s="258" t="s">
        <v>47</v>
      </c>
      <c r="L8" s="258" t="s">
        <v>49</v>
      </c>
      <c r="M8" s="260" t="s">
        <v>48</v>
      </c>
      <c r="N8" s="186"/>
      <c r="O8" s="29"/>
      <c r="P8" s="272"/>
      <c r="Q8" s="273"/>
      <c r="R8" s="274"/>
      <c r="S8" s="29"/>
    </row>
    <row r="9" spans="1:19" ht="15.75" customHeight="1" x14ac:dyDescent="0.25">
      <c r="A9" s="17"/>
      <c r="B9" s="256" t="s">
        <v>28</v>
      </c>
      <c r="C9" s="257"/>
      <c r="D9" s="231">
        <v>18590679</v>
      </c>
      <c r="E9" s="31"/>
      <c r="F9" s="29"/>
      <c r="G9" s="186"/>
      <c r="H9" s="252"/>
      <c r="I9" s="268"/>
      <c r="J9" s="259"/>
      <c r="K9" s="259"/>
      <c r="L9" s="259"/>
      <c r="M9" s="261"/>
      <c r="N9" s="186"/>
      <c r="O9" s="29"/>
      <c r="P9" s="272"/>
      <c r="Q9" s="273"/>
      <c r="R9" s="274"/>
      <c r="S9" s="29"/>
    </row>
    <row r="10" spans="1:19" ht="15.75" customHeight="1" x14ac:dyDescent="0.25">
      <c r="A10" s="17"/>
      <c r="B10" s="256" t="s">
        <v>31</v>
      </c>
      <c r="C10" s="257"/>
      <c r="D10" s="232">
        <f>+B34</f>
        <v>400</v>
      </c>
      <c r="E10" s="28"/>
      <c r="F10" s="33" t="s">
        <v>15</v>
      </c>
      <c r="G10" s="34" t="s">
        <v>26</v>
      </c>
      <c r="H10" s="35">
        <f>+D7</f>
        <v>44042</v>
      </c>
      <c r="I10" s="36"/>
      <c r="J10" s="36"/>
      <c r="K10" s="36"/>
      <c r="L10" s="36">
        <f>+D9</f>
        <v>18590679</v>
      </c>
      <c r="M10" s="37">
        <f>-L10*D17</f>
        <v>-18711240.554932512</v>
      </c>
      <c r="N10" s="38">
        <f>-SUM(N11:N24)</f>
        <v>-18711240.554932512</v>
      </c>
      <c r="O10" s="29"/>
      <c r="P10" s="272"/>
      <c r="Q10" s="273"/>
      <c r="R10" s="274"/>
      <c r="S10" s="29"/>
    </row>
    <row r="11" spans="1:19" ht="15.75" customHeight="1" x14ac:dyDescent="0.25">
      <c r="A11" s="17"/>
      <c r="B11" s="256" t="s">
        <v>29</v>
      </c>
      <c r="C11" s="257"/>
      <c r="D11" s="233">
        <f>C36</f>
        <v>0.31</v>
      </c>
      <c r="E11" s="31"/>
      <c r="F11" s="39">
        <f>+(H11-$D$38)</f>
        <v>19</v>
      </c>
      <c r="G11" s="15">
        <v>30</v>
      </c>
      <c r="H11" s="40">
        <f t="shared" ref="H11:H24" si="0">+D39</f>
        <v>44061</v>
      </c>
      <c r="I11" s="41">
        <f t="shared" ref="I11:I18" si="1">+K39</f>
        <v>0</v>
      </c>
      <c r="J11" s="41">
        <f t="shared" ref="J11:J21" si="2">L39</f>
        <v>0</v>
      </c>
      <c r="K11" s="41">
        <f t="shared" ref="K11:K21" si="3">+I39</f>
        <v>0</v>
      </c>
      <c r="L11" s="41">
        <f>IF((L10-K11)&lt;0,0,(L10-K11))</f>
        <v>18590679</v>
      </c>
      <c r="M11" s="42">
        <f t="shared" ref="M11:M21" si="4">J11+K11</f>
        <v>0</v>
      </c>
      <c r="N11" s="43">
        <f t="shared" ref="N11:N21" si="5">J39/(1+$D$14)^(F11/365)</f>
        <v>0</v>
      </c>
      <c r="O11" s="29"/>
      <c r="P11" s="272"/>
      <c r="Q11" s="273"/>
      <c r="R11" s="274"/>
      <c r="S11" s="29"/>
    </row>
    <row r="12" spans="1:19" ht="15.75" customHeight="1" x14ac:dyDescent="0.25">
      <c r="A12" s="17"/>
      <c r="B12" s="256" t="s">
        <v>30</v>
      </c>
      <c r="C12" s="257"/>
      <c r="D12" s="233">
        <f>C37</f>
        <v>0.41</v>
      </c>
      <c r="E12" s="31"/>
      <c r="F12" s="39">
        <f t="shared" ref="F12:F21" si="6">+(H12-$D$38)</f>
        <v>50</v>
      </c>
      <c r="G12" s="15">
        <v>30</v>
      </c>
      <c r="H12" s="40">
        <f t="shared" si="0"/>
        <v>44092</v>
      </c>
      <c r="I12" s="44">
        <f t="shared" si="1"/>
        <v>0</v>
      </c>
      <c r="J12" s="44">
        <f t="shared" si="2"/>
        <v>0</v>
      </c>
      <c r="K12" s="44">
        <f t="shared" si="3"/>
        <v>0</v>
      </c>
      <c r="L12" s="44">
        <f t="shared" ref="L12:L21" si="7">IF((L11-K12)&lt;0,0,(L11-K12))</f>
        <v>18590679</v>
      </c>
      <c r="M12" s="32">
        <f t="shared" si="4"/>
        <v>0</v>
      </c>
      <c r="N12" s="43">
        <f t="shared" si="5"/>
        <v>0</v>
      </c>
      <c r="O12" s="29"/>
      <c r="P12" s="272"/>
      <c r="Q12" s="273"/>
      <c r="R12" s="274"/>
      <c r="S12" s="29"/>
    </row>
    <row r="13" spans="1:19" ht="15.75" customHeight="1" x14ac:dyDescent="0.25">
      <c r="A13" s="17"/>
      <c r="B13" s="285" t="s">
        <v>44</v>
      </c>
      <c r="C13" s="286"/>
      <c r="D13" s="239">
        <v>0.29125000000000001</v>
      </c>
      <c r="E13" s="31"/>
      <c r="F13" s="39">
        <f t="shared" si="6"/>
        <v>81</v>
      </c>
      <c r="G13" s="15">
        <v>30</v>
      </c>
      <c r="H13" s="40">
        <f t="shared" si="0"/>
        <v>44123</v>
      </c>
      <c r="I13" s="41">
        <f t="shared" si="1"/>
        <v>0</v>
      </c>
      <c r="J13" s="41">
        <f t="shared" si="2"/>
        <v>0</v>
      </c>
      <c r="K13" s="41">
        <f t="shared" si="3"/>
        <v>0</v>
      </c>
      <c r="L13" s="41">
        <f t="shared" si="7"/>
        <v>18590679</v>
      </c>
      <c r="M13" s="42">
        <f t="shared" si="4"/>
        <v>0</v>
      </c>
      <c r="N13" s="43">
        <f t="shared" si="5"/>
        <v>0</v>
      </c>
      <c r="O13" s="29"/>
      <c r="P13" s="272"/>
      <c r="Q13" s="273"/>
      <c r="R13" s="274"/>
      <c r="S13" s="29"/>
    </row>
    <row r="14" spans="1:19" ht="15.75" customHeight="1" x14ac:dyDescent="0.25">
      <c r="A14" s="17"/>
      <c r="B14" s="281" t="s">
        <v>32</v>
      </c>
      <c r="C14" s="282"/>
      <c r="D14" s="240">
        <v>0.32</v>
      </c>
      <c r="E14" s="31"/>
      <c r="F14" s="39">
        <f t="shared" si="6"/>
        <v>111</v>
      </c>
      <c r="G14" s="15">
        <v>30</v>
      </c>
      <c r="H14" s="40">
        <f t="shared" si="0"/>
        <v>44153</v>
      </c>
      <c r="I14" s="44">
        <f t="shared" si="1"/>
        <v>0</v>
      </c>
      <c r="J14" s="44">
        <f t="shared" si="2"/>
        <v>0</v>
      </c>
      <c r="K14" s="44">
        <f t="shared" si="3"/>
        <v>0</v>
      </c>
      <c r="L14" s="44">
        <f t="shared" si="7"/>
        <v>18590679</v>
      </c>
      <c r="M14" s="32">
        <f t="shared" si="4"/>
        <v>0</v>
      </c>
      <c r="N14" s="43">
        <f t="shared" si="5"/>
        <v>0</v>
      </c>
      <c r="O14" s="29"/>
      <c r="P14" s="272"/>
      <c r="Q14" s="273"/>
      <c r="R14" s="274"/>
      <c r="S14" s="29"/>
    </row>
    <row r="15" spans="1:19" ht="15.75" customHeight="1" x14ac:dyDescent="0.25">
      <c r="A15" s="17"/>
      <c r="B15" s="287" t="s">
        <v>37</v>
      </c>
      <c r="C15" s="288" t="s">
        <v>36</v>
      </c>
      <c r="D15" s="241">
        <v>18590679</v>
      </c>
      <c r="E15" s="31"/>
      <c r="F15" s="39">
        <f t="shared" si="6"/>
        <v>141</v>
      </c>
      <c r="G15" s="15">
        <v>30</v>
      </c>
      <c r="H15" s="40">
        <f t="shared" si="0"/>
        <v>44183</v>
      </c>
      <c r="I15" s="41">
        <f t="shared" si="1"/>
        <v>0</v>
      </c>
      <c r="J15" s="41">
        <f t="shared" si="2"/>
        <v>0</v>
      </c>
      <c r="K15" s="41">
        <f t="shared" si="3"/>
        <v>0</v>
      </c>
      <c r="L15" s="41">
        <f t="shared" si="7"/>
        <v>18590679</v>
      </c>
      <c r="M15" s="42">
        <f t="shared" si="4"/>
        <v>0</v>
      </c>
      <c r="N15" s="43">
        <f t="shared" si="5"/>
        <v>0</v>
      </c>
      <c r="O15" s="29"/>
      <c r="P15" s="272"/>
      <c r="Q15" s="273"/>
      <c r="R15" s="274"/>
      <c r="S15" s="29"/>
    </row>
    <row r="16" spans="1:19" ht="15.75" customHeight="1" x14ac:dyDescent="0.25">
      <c r="A16" s="17"/>
      <c r="B16" s="256" t="s">
        <v>41</v>
      </c>
      <c r="C16" s="257"/>
      <c r="D16" s="234">
        <f>+D15*D17</f>
        <v>18711240.554932512</v>
      </c>
      <c r="E16" s="31"/>
      <c r="F16" s="39">
        <f t="shared" si="6"/>
        <v>172</v>
      </c>
      <c r="G16" s="15">
        <v>30</v>
      </c>
      <c r="H16" s="40">
        <f t="shared" si="0"/>
        <v>44214</v>
      </c>
      <c r="I16" s="44">
        <f t="shared" si="1"/>
        <v>0</v>
      </c>
      <c r="J16" s="44">
        <f t="shared" si="2"/>
        <v>0</v>
      </c>
      <c r="K16" s="44">
        <f t="shared" si="3"/>
        <v>0</v>
      </c>
      <c r="L16" s="44">
        <f t="shared" si="7"/>
        <v>18590679</v>
      </c>
      <c r="M16" s="32">
        <f t="shared" si="4"/>
        <v>0</v>
      </c>
      <c r="N16" s="43">
        <f t="shared" si="5"/>
        <v>0</v>
      </c>
      <c r="O16" s="29"/>
      <c r="P16" s="272"/>
      <c r="Q16" s="273"/>
      <c r="R16" s="274"/>
      <c r="S16" s="29"/>
    </row>
    <row r="17" spans="1:19" ht="15.75" customHeight="1" x14ac:dyDescent="0.25">
      <c r="A17" s="17"/>
      <c r="B17" s="256" t="s">
        <v>52</v>
      </c>
      <c r="C17" s="257"/>
      <c r="D17" s="235">
        <f>$N$10/$J$38</f>
        <v>1.0064850538774035</v>
      </c>
      <c r="E17" s="31"/>
      <c r="F17" s="39">
        <f t="shared" si="6"/>
        <v>203</v>
      </c>
      <c r="G17" s="15">
        <v>30</v>
      </c>
      <c r="H17" s="40">
        <f t="shared" si="0"/>
        <v>44245</v>
      </c>
      <c r="I17" s="41">
        <f t="shared" si="1"/>
        <v>0</v>
      </c>
      <c r="J17" s="41">
        <f t="shared" si="2"/>
        <v>0</v>
      </c>
      <c r="K17" s="41">
        <f t="shared" si="3"/>
        <v>0</v>
      </c>
      <c r="L17" s="41">
        <f t="shared" si="7"/>
        <v>18590679</v>
      </c>
      <c r="M17" s="42">
        <f t="shared" si="4"/>
        <v>0</v>
      </c>
      <c r="N17" s="43">
        <f t="shared" si="5"/>
        <v>0</v>
      </c>
      <c r="O17" s="29"/>
      <c r="P17" s="272"/>
      <c r="Q17" s="273"/>
      <c r="R17" s="274"/>
      <c r="S17" s="29"/>
    </row>
    <row r="18" spans="1:19" ht="15.75" customHeight="1" x14ac:dyDescent="0.25">
      <c r="A18" s="17"/>
      <c r="B18" s="256" t="s">
        <v>42</v>
      </c>
      <c r="C18" s="257"/>
      <c r="D18" s="231">
        <f>-J38*D17</f>
        <v>18711240.554932512</v>
      </c>
      <c r="E18" s="31"/>
      <c r="F18" s="39">
        <f t="shared" si="6"/>
        <v>231</v>
      </c>
      <c r="G18" s="15">
        <v>30</v>
      </c>
      <c r="H18" s="40">
        <f t="shared" si="0"/>
        <v>44273</v>
      </c>
      <c r="I18" s="44">
        <f t="shared" si="1"/>
        <v>0</v>
      </c>
      <c r="J18" s="44">
        <f t="shared" si="2"/>
        <v>0</v>
      </c>
      <c r="K18" s="44">
        <f t="shared" si="3"/>
        <v>0</v>
      </c>
      <c r="L18" s="44">
        <f t="shared" si="7"/>
        <v>18590679</v>
      </c>
      <c r="M18" s="32">
        <f t="shared" si="4"/>
        <v>0</v>
      </c>
      <c r="N18" s="43">
        <f t="shared" si="5"/>
        <v>0</v>
      </c>
      <c r="O18" s="29"/>
      <c r="P18" s="272"/>
      <c r="Q18" s="273"/>
      <c r="R18" s="274"/>
      <c r="S18" s="29"/>
    </row>
    <row r="19" spans="1:19" ht="15.75" customHeight="1" x14ac:dyDescent="0.25">
      <c r="A19" s="17"/>
      <c r="B19" s="256" t="s">
        <v>33</v>
      </c>
      <c r="C19" s="257"/>
      <c r="D19" s="233">
        <f>IF(+(D13+(D10/10000))&gt;D12,D12,IF(+D13+(D10/10000)&lt;D11,D11,(+D13+(D10/10000))))</f>
        <v>0.33124999999999999</v>
      </c>
      <c r="E19" s="31"/>
      <c r="F19" s="39">
        <f t="shared" si="6"/>
        <v>263</v>
      </c>
      <c r="G19" s="15">
        <v>30</v>
      </c>
      <c r="H19" s="40">
        <f t="shared" si="0"/>
        <v>44305</v>
      </c>
      <c r="I19" s="41">
        <f>+K47</f>
        <v>0</v>
      </c>
      <c r="J19" s="41">
        <f t="shared" si="2"/>
        <v>0</v>
      </c>
      <c r="K19" s="41">
        <f t="shared" si="3"/>
        <v>0</v>
      </c>
      <c r="L19" s="41">
        <f t="shared" si="7"/>
        <v>18590679</v>
      </c>
      <c r="M19" s="42">
        <f t="shared" si="4"/>
        <v>0</v>
      </c>
      <c r="N19" s="43">
        <f t="shared" si="5"/>
        <v>0</v>
      </c>
      <c r="O19" s="29"/>
      <c r="P19" s="272"/>
      <c r="Q19" s="273"/>
      <c r="R19" s="274"/>
      <c r="S19" s="29"/>
    </row>
    <row r="20" spans="1:19" ht="15.75" customHeight="1" x14ac:dyDescent="0.25">
      <c r="A20" s="17"/>
      <c r="B20" s="256" t="s">
        <v>38</v>
      </c>
      <c r="C20" s="257"/>
      <c r="D20" s="236">
        <f>+XIRR(M10:M24,H10:H24,)</f>
        <v>0.34262781739234915</v>
      </c>
      <c r="E20" s="31"/>
      <c r="F20" s="39">
        <f t="shared" si="6"/>
        <v>292</v>
      </c>
      <c r="G20" s="15">
        <v>30</v>
      </c>
      <c r="H20" s="40">
        <f t="shared" si="0"/>
        <v>44334</v>
      </c>
      <c r="I20" s="44">
        <f>+K48</f>
        <v>0</v>
      </c>
      <c r="J20" s="44">
        <f t="shared" si="2"/>
        <v>0</v>
      </c>
      <c r="K20" s="44">
        <f t="shared" si="3"/>
        <v>0</v>
      </c>
      <c r="L20" s="44">
        <f t="shared" si="7"/>
        <v>18590679</v>
      </c>
      <c r="M20" s="32">
        <f t="shared" si="4"/>
        <v>0</v>
      </c>
      <c r="N20" s="43">
        <f t="shared" si="5"/>
        <v>0</v>
      </c>
      <c r="O20" s="29"/>
      <c r="P20" s="272"/>
      <c r="Q20" s="273"/>
      <c r="R20" s="274"/>
      <c r="S20" s="29"/>
    </row>
    <row r="21" spans="1:19" ht="15.75" customHeight="1" x14ac:dyDescent="0.25">
      <c r="A21" s="17"/>
      <c r="B21" s="256" t="s">
        <v>39</v>
      </c>
      <c r="C21" s="257"/>
      <c r="D21" s="233">
        <f>+((D20+1)^(0.0833333333333333)-1)*12</f>
        <v>0.29827545618476226</v>
      </c>
      <c r="E21" s="31"/>
      <c r="F21" s="39">
        <f t="shared" si="6"/>
        <v>323</v>
      </c>
      <c r="G21" s="15">
        <v>30</v>
      </c>
      <c r="H21" s="40">
        <f t="shared" si="0"/>
        <v>44365</v>
      </c>
      <c r="I21" s="41">
        <f>+K49</f>
        <v>1330476.7382364571</v>
      </c>
      <c r="J21" s="41">
        <f t="shared" si="2"/>
        <v>1330476.7382364571</v>
      </c>
      <c r="K21" s="41">
        <f t="shared" si="3"/>
        <v>0</v>
      </c>
      <c r="L21" s="41">
        <f t="shared" si="7"/>
        <v>18590679</v>
      </c>
      <c r="M21" s="42">
        <f t="shared" si="4"/>
        <v>1330476.7382364571</v>
      </c>
      <c r="N21" s="43">
        <f t="shared" si="5"/>
        <v>1040657.0128271299</v>
      </c>
      <c r="O21" s="29"/>
      <c r="P21" s="272"/>
      <c r="Q21" s="273"/>
      <c r="R21" s="274"/>
      <c r="S21" s="29"/>
    </row>
    <row r="22" spans="1:19" ht="15.75" customHeight="1" x14ac:dyDescent="0.25">
      <c r="A22" s="17"/>
      <c r="B22" s="256" t="s">
        <v>43</v>
      </c>
      <c r="C22" s="257"/>
      <c r="D22" s="237">
        <f>+AG58</f>
        <v>12.508869464126507</v>
      </c>
      <c r="E22" s="31"/>
      <c r="F22" s="39">
        <f t="shared" ref="F22:F23" si="8">+(H22-$D$38)</f>
        <v>354</v>
      </c>
      <c r="G22" s="15">
        <v>30</v>
      </c>
      <c r="H22" s="40">
        <f t="shared" si="0"/>
        <v>44396</v>
      </c>
      <c r="I22" s="41">
        <f t="shared" ref="I22:I24" si="9">+K50</f>
        <v>9569049.2617635429</v>
      </c>
      <c r="J22" s="41">
        <f>L50</f>
        <v>4895172.2617635429</v>
      </c>
      <c r="K22" s="41">
        <f t="shared" ref="K22:K24" si="10">+I50</f>
        <v>5073258</v>
      </c>
      <c r="L22" s="41">
        <f t="shared" ref="L22:L24" si="11">IF((L21-K22)&lt;0,0,(L21-K22))</f>
        <v>13517421</v>
      </c>
      <c r="M22" s="42">
        <f t="shared" ref="M22:M24" si="12">J22+K22</f>
        <v>9968430.2617635429</v>
      </c>
      <c r="N22" s="43">
        <f>J50/(1+$D$14)^(F22/365)</f>
        <v>7310188.8074884322</v>
      </c>
      <c r="O22" s="29"/>
      <c r="P22" s="272"/>
      <c r="Q22" s="273"/>
      <c r="R22" s="274"/>
      <c r="S22" s="29"/>
    </row>
    <row r="23" spans="1:19" ht="15.75" customHeight="1" x14ac:dyDescent="0.25">
      <c r="A23" s="17"/>
      <c r="B23" s="283" t="s">
        <v>60</v>
      </c>
      <c r="C23" s="284"/>
      <c r="D23" s="238" t="s">
        <v>66</v>
      </c>
      <c r="E23" s="45"/>
      <c r="F23" s="39">
        <f t="shared" si="8"/>
        <v>384</v>
      </c>
      <c r="G23" s="15">
        <v>30</v>
      </c>
      <c r="H23" s="40">
        <f t="shared" si="0"/>
        <v>44426</v>
      </c>
      <c r="I23" s="41">
        <f t="shared" si="9"/>
        <v>8767148</v>
      </c>
      <c r="J23" s="41">
        <f t="shared" ref="J23:J24" si="13">L51</f>
        <v>368026</v>
      </c>
      <c r="K23" s="41">
        <f t="shared" si="10"/>
        <v>8422732</v>
      </c>
      <c r="L23" s="41">
        <f t="shared" si="11"/>
        <v>5094689</v>
      </c>
      <c r="M23" s="42">
        <f t="shared" si="12"/>
        <v>8790758</v>
      </c>
      <c r="N23" s="43">
        <f t="shared" ref="N23:N24" si="14">J51/(1+$D$14)^(F23/365)</f>
        <v>6546481.6610952551</v>
      </c>
      <c r="O23" s="29"/>
      <c r="P23" s="272"/>
      <c r="Q23" s="273"/>
      <c r="R23" s="274"/>
      <c r="S23" s="29"/>
    </row>
    <row r="24" spans="1:19" ht="15.75" customHeight="1" x14ac:dyDescent="0.25">
      <c r="A24" s="17"/>
      <c r="B24" s="17"/>
      <c r="C24" s="17"/>
      <c r="D24" s="17"/>
      <c r="E24" s="29"/>
      <c r="F24" s="39">
        <f>+(H24-$D$38)</f>
        <v>417</v>
      </c>
      <c r="G24" s="15">
        <v>30</v>
      </c>
      <c r="H24" s="40">
        <f t="shared" si="0"/>
        <v>44459</v>
      </c>
      <c r="I24" s="44">
        <f t="shared" si="9"/>
        <v>5237480</v>
      </c>
      <c r="J24" s="44">
        <f t="shared" si="13"/>
        <v>152579</v>
      </c>
      <c r="K24" s="44">
        <f t="shared" si="10"/>
        <v>5094689</v>
      </c>
      <c r="L24" s="44">
        <f t="shared" si="11"/>
        <v>0</v>
      </c>
      <c r="M24" s="32">
        <f t="shared" si="12"/>
        <v>5247268</v>
      </c>
      <c r="N24" s="51">
        <f t="shared" si="14"/>
        <v>3813913.0735216974</v>
      </c>
      <c r="O24" s="29"/>
      <c r="P24" s="272"/>
      <c r="Q24" s="273"/>
      <c r="R24" s="274"/>
      <c r="S24" s="29"/>
    </row>
    <row r="25" spans="1:19" ht="15.75" customHeight="1" x14ac:dyDescent="0.25">
      <c r="A25" s="17"/>
      <c r="B25" s="17"/>
      <c r="C25" s="17"/>
      <c r="D25" s="17"/>
      <c r="E25" s="29"/>
      <c r="F25" s="187"/>
      <c r="G25" s="188"/>
      <c r="H25" s="189" t="s">
        <v>5</v>
      </c>
      <c r="I25" s="190"/>
      <c r="J25" s="49">
        <f>+SUM(J11:J24)</f>
        <v>6746254</v>
      </c>
      <c r="K25" s="49">
        <f>+SUM(K10:K24)</f>
        <v>18590679</v>
      </c>
      <c r="L25" s="49"/>
      <c r="M25" s="50">
        <f>+J25+K25</f>
        <v>25336933</v>
      </c>
      <c r="N25"/>
      <c r="O25" s="29"/>
      <c r="P25" s="275"/>
      <c r="Q25" s="276"/>
      <c r="R25" s="277"/>
      <c r="S25" s="29"/>
    </row>
    <row r="26" spans="1:19" ht="15.75" customHeight="1" x14ac:dyDescent="0.25">
      <c r="A26" s="17"/>
      <c r="B26" s="17"/>
      <c r="C26" s="17"/>
      <c r="D26" s="17"/>
      <c r="E26" s="29"/>
      <c r="F26" s="17"/>
      <c r="G26" s="29"/>
      <c r="H26" s="191"/>
      <c r="I26" s="29"/>
      <c r="J26" s="192"/>
      <c r="K26" s="192"/>
      <c r="L26" s="192"/>
      <c r="M26" s="192"/>
      <c r="N26" s="193"/>
      <c r="O26" s="29"/>
      <c r="P26" s="17"/>
      <c r="Q26" s="17"/>
      <c r="R26" s="17"/>
      <c r="S26" s="29"/>
    </row>
    <row r="27" spans="1:19" ht="15.75" hidden="1" customHeight="1" x14ac:dyDescent="0.25">
      <c r="A27" s="17"/>
      <c r="B27" s="17"/>
      <c r="C27" s="17"/>
      <c r="D27" s="17"/>
      <c r="E27" s="29"/>
      <c r="F27" s="17"/>
      <c r="G27" s="17"/>
      <c r="H27" s="17"/>
      <c r="I27" s="17"/>
      <c r="J27" s="17"/>
      <c r="K27" s="17"/>
      <c r="L27" s="17"/>
      <c r="M27" s="17"/>
      <c r="N27" s="193"/>
      <c r="O27" s="29"/>
      <c r="P27" s="17"/>
      <c r="Q27" s="17"/>
      <c r="R27" s="17"/>
      <c r="S27" s="29"/>
    </row>
    <row r="28" spans="1:19" ht="15.75" hidden="1" x14ac:dyDescent="0.25">
      <c r="A28" s="17"/>
      <c r="B28" s="17"/>
      <c r="C28" s="17"/>
      <c r="D28" s="17"/>
      <c r="E28" s="29"/>
      <c r="F28" s="17"/>
      <c r="G28" s="17"/>
      <c r="H28" s="17"/>
      <c r="I28" s="17"/>
      <c r="J28" s="17"/>
      <c r="K28" s="17"/>
      <c r="L28" s="17"/>
      <c r="M28" s="17"/>
      <c r="N28" s="194"/>
      <c r="O28" s="29"/>
      <c r="P28" s="17"/>
      <c r="Q28" s="17"/>
      <c r="R28" s="17"/>
      <c r="S28" s="29"/>
    </row>
    <row r="29" spans="1:19" ht="15.75" hidden="1" customHeight="1" x14ac:dyDescent="0.25">
      <c r="A29" s="17"/>
      <c r="B29" s="17"/>
      <c r="C29" s="17"/>
      <c r="D29" s="17"/>
      <c r="E29" s="29"/>
      <c r="F29" s="29"/>
      <c r="G29" s="29"/>
      <c r="H29" s="191"/>
      <c r="I29" s="29"/>
      <c r="J29" s="192"/>
      <c r="K29" s="192"/>
      <c r="L29" s="192"/>
      <c r="M29" s="192"/>
      <c r="N29" s="29"/>
      <c r="O29" s="29"/>
      <c r="P29" s="17"/>
      <c r="Q29" s="17"/>
      <c r="R29" s="17"/>
      <c r="S29" s="29"/>
    </row>
    <row r="30" spans="1:19" ht="15" hidden="1" customHeight="1" thickBot="1" x14ac:dyDescent="0.3">
      <c r="A30" s="17"/>
      <c r="B30" s="17"/>
      <c r="C30" s="52"/>
      <c r="D30" s="17"/>
      <c r="E30" s="17"/>
      <c r="F30" s="17"/>
      <c r="G30" s="17"/>
      <c r="H30" s="17"/>
      <c r="I30" s="17"/>
      <c r="J30" s="17"/>
      <c r="K30" s="17"/>
      <c r="L30" s="17"/>
      <c r="M30" s="17"/>
      <c r="N30" s="55"/>
      <c r="O30" s="17"/>
      <c r="P30" s="17"/>
      <c r="Q30" s="17"/>
      <c r="R30" s="17"/>
      <c r="S30" s="17"/>
    </row>
    <row r="31" spans="1:19" ht="15" hidden="1" customHeight="1" thickBot="1" x14ac:dyDescent="0.35">
      <c r="A31" s="53"/>
      <c r="B31" s="54" t="s">
        <v>12</v>
      </c>
      <c r="C31" s="52"/>
      <c r="D31" s="17"/>
      <c r="E31" s="17"/>
      <c r="F31" s="17"/>
      <c r="G31" s="17"/>
      <c r="H31" s="17"/>
      <c r="I31" s="17"/>
      <c r="J31" s="17"/>
      <c r="K31" s="17"/>
      <c r="L31" s="17"/>
      <c r="M31" s="17"/>
      <c r="N31" s="55"/>
      <c r="O31" s="17"/>
      <c r="P31" s="17"/>
      <c r="Q31" s="17"/>
      <c r="R31" s="79"/>
      <c r="S31" s="56"/>
    </row>
    <row r="32" spans="1:19" ht="15.75" hidden="1" customHeight="1" thickBot="1" x14ac:dyDescent="0.3">
      <c r="A32" s="53"/>
      <c r="B32" s="57">
        <f>D21-D13</f>
        <v>7.0254561847622465E-3</v>
      </c>
      <c r="C32" s="52"/>
      <c r="D32" s="17"/>
      <c r="E32" s="17"/>
      <c r="F32" s="17"/>
      <c r="G32" s="17"/>
      <c r="H32" s="17"/>
      <c r="I32" s="17"/>
      <c r="J32" s="17"/>
      <c r="K32" s="17"/>
      <c r="L32" s="17"/>
      <c r="M32" s="17"/>
      <c r="N32" s="17"/>
      <c r="O32" s="17"/>
      <c r="P32" s="17"/>
      <c r="Q32" s="17"/>
      <c r="R32" s="79"/>
      <c r="S32" s="56"/>
    </row>
    <row r="33" spans="1:34" ht="17.25" hidden="1" customHeight="1" thickBot="1" x14ac:dyDescent="0.35">
      <c r="A33" s="53"/>
      <c r="B33" s="11" t="s">
        <v>58</v>
      </c>
      <c r="C33" s="11" t="s">
        <v>13</v>
      </c>
      <c r="D33" s="58" t="s">
        <v>63</v>
      </c>
      <c r="E33" s="58"/>
      <c r="F33" s="298" t="s">
        <v>3</v>
      </c>
      <c r="G33" s="299"/>
      <c r="H33" s="300"/>
      <c r="I33" s="300"/>
      <c r="J33" s="300"/>
      <c r="K33" s="310" t="s">
        <v>4</v>
      </c>
      <c r="L33" s="311"/>
      <c r="M33" s="311"/>
      <c r="N33" s="311"/>
      <c r="O33" s="311"/>
      <c r="P33" s="312"/>
      <c r="Q33" s="59"/>
      <c r="R33" s="79"/>
      <c r="S33" s="56"/>
    </row>
    <row r="34" spans="1:34" ht="17.25" hidden="1" customHeight="1" thickBot="1" x14ac:dyDescent="0.35">
      <c r="A34" s="53"/>
      <c r="B34" s="60">
        <v>400</v>
      </c>
      <c r="C34" s="60">
        <v>365</v>
      </c>
      <c r="D34" s="58" t="s">
        <v>10</v>
      </c>
      <c r="E34" s="58"/>
      <c r="F34" s="61"/>
      <c r="G34" s="61"/>
      <c r="H34" s="62"/>
      <c r="I34" s="63"/>
      <c r="J34" s="64">
        <f>XIRR(J38:J57,$D$38:$D$57,0.2)</f>
        <v>0.32831776738166807</v>
      </c>
      <c r="K34" s="65"/>
      <c r="L34" s="62"/>
      <c r="M34" s="62"/>
      <c r="N34" s="58" t="s">
        <v>10</v>
      </c>
      <c r="O34" s="66">
        <f>XIRR(O38:O57,D38:D57,0.2)</f>
        <v>0.34262781739234915</v>
      </c>
      <c r="P34" s="67"/>
      <c r="Q34" s="59"/>
      <c r="R34" s="79"/>
      <c r="S34" s="56"/>
      <c r="U34" s="68" t="s">
        <v>22</v>
      </c>
      <c r="V34" s="69">
        <f>+$D$38</f>
        <v>44042</v>
      </c>
      <c r="W34" s="70"/>
      <c r="X34" s="264" t="s">
        <v>53</v>
      </c>
      <c r="Y34" s="265"/>
      <c r="Z34" s="266"/>
      <c r="AA34" s="71"/>
      <c r="AB34" s="68" t="s">
        <v>22</v>
      </c>
      <c r="AC34" s="69">
        <f>+V34</f>
        <v>44042</v>
      </c>
      <c r="AD34" s="70"/>
      <c r="AE34" s="264" t="s">
        <v>54</v>
      </c>
      <c r="AF34" s="265"/>
      <c r="AG34" s="266"/>
      <c r="AH34" s="72"/>
    </row>
    <row r="35" spans="1:34" ht="17.25" hidden="1" customHeight="1" thickBot="1" x14ac:dyDescent="0.35">
      <c r="A35" s="53"/>
      <c r="B35" s="73"/>
      <c r="C35" s="12" t="s">
        <v>14</v>
      </c>
      <c r="D35" s="195">
        <f>+D8</f>
        <v>44027</v>
      </c>
      <c r="E35" s="126"/>
      <c r="F35" s="76" t="s">
        <v>11</v>
      </c>
      <c r="G35" s="76"/>
      <c r="H35" s="5">
        <f>C36</f>
        <v>0.31</v>
      </c>
      <c r="I35" s="77"/>
      <c r="J35" s="17"/>
      <c r="K35" s="53"/>
      <c r="L35" s="3">
        <f>D19</f>
        <v>0.33124999999999999</v>
      </c>
      <c r="M35" s="17"/>
      <c r="N35" s="76" t="s">
        <v>11</v>
      </c>
      <c r="O35" s="78">
        <f>+((O34+1)^(0.0833333333333333)-1)*12</f>
        <v>0.29827545618476226</v>
      </c>
      <c r="P35" s="79"/>
      <c r="Q35" s="137"/>
      <c r="R35" s="79"/>
      <c r="S35" s="56"/>
      <c r="U35" s="6"/>
      <c r="V35" s="1"/>
      <c r="W35" s="1"/>
      <c r="X35" s="2"/>
      <c r="Y35" s="83"/>
      <c r="Z35" s="84"/>
      <c r="AA35" s="21"/>
      <c r="AB35" s="6"/>
      <c r="AC35" s="1"/>
      <c r="AD35" s="1"/>
      <c r="AE35" s="2"/>
      <c r="AF35" s="83"/>
      <c r="AG35" s="84"/>
      <c r="AH35" s="85"/>
    </row>
    <row r="36" spans="1:34" ht="17.25" hidden="1" customHeight="1" thickBot="1" x14ac:dyDescent="0.35">
      <c r="A36" s="53"/>
      <c r="B36" s="12" t="s">
        <v>24</v>
      </c>
      <c r="C36" s="86">
        <v>0.31</v>
      </c>
      <c r="D36" s="289" t="s">
        <v>0</v>
      </c>
      <c r="E36" s="196"/>
      <c r="F36" s="316" t="s">
        <v>57</v>
      </c>
      <c r="G36" s="289" t="s">
        <v>56</v>
      </c>
      <c r="H36" s="291" t="s">
        <v>6</v>
      </c>
      <c r="I36" s="296" t="s">
        <v>7</v>
      </c>
      <c r="J36" s="304" t="s">
        <v>2</v>
      </c>
      <c r="K36" s="306" t="s">
        <v>9</v>
      </c>
      <c r="L36" s="88" t="s">
        <v>6</v>
      </c>
      <c r="M36" s="89" t="s">
        <v>8</v>
      </c>
      <c r="N36" s="293" t="s">
        <v>1</v>
      </c>
      <c r="O36" s="293" t="s">
        <v>2</v>
      </c>
      <c r="P36" s="253"/>
      <c r="Q36" s="137"/>
      <c r="R36" s="79"/>
      <c r="S36" s="56"/>
      <c r="U36" s="90" t="s">
        <v>16</v>
      </c>
      <c r="V36" s="91">
        <f>+H35</f>
        <v>0.31</v>
      </c>
      <c r="W36" s="92"/>
      <c r="X36" s="92" t="s">
        <v>17</v>
      </c>
      <c r="Y36" s="93">
        <f>+F38</f>
        <v>18590679</v>
      </c>
      <c r="Z36" s="94"/>
      <c r="AA36" s="94"/>
      <c r="AB36" s="90" t="s">
        <v>16</v>
      </c>
      <c r="AC36" s="91">
        <f>+L35</f>
        <v>0.33124999999999999</v>
      </c>
      <c r="AD36" s="92"/>
      <c r="AE36" s="92" t="s">
        <v>17</v>
      </c>
      <c r="AF36" s="93">
        <f>+N38</f>
        <v>18590679</v>
      </c>
      <c r="AG36" s="94"/>
      <c r="AH36" s="95"/>
    </row>
    <row r="37" spans="1:34" ht="15.75" hidden="1" customHeight="1" thickBot="1" x14ac:dyDescent="0.3">
      <c r="A37" s="53"/>
      <c r="B37" s="12" t="s">
        <v>25</v>
      </c>
      <c r="C37" s="86">
        <v>0.41</v>
      </c>
      <c r="D37" s="297"/>
      <c r="E37" s="197"/>
      <c r="F37" s="317"/>
      <c r="G37" s="295"/>
      <c r="H37" s="290"/>
      <c r="I37" s="290"/>
      <c r="J37" s="315"/>
      <c r="K37" s="309"/>
      <c r="L37" s="198"/>
      <c r="M37" s="96"/>
      <c r="N37" s="313"/>
      <c r="O37" s="313"/>
      <c r="P37" s="314"/>
      <c r="Q37" s="199"/>
      <c r="R37" s="79"/>
      <c r="S37" s="56"/>
      <c r="U37" s="99" t="s">
        <v>0</v>
      </c>
      <c r="V37" s="100" t="s">
        <v>18</v>
      </c>
      <c r="W37" s="101"/>
      <c r="X37" s="101" t="s">
        <v>19</v>
      </c>
      <c r="Y37" s="102"/>
      <c r="Z37" s="101"/>
      <c r="AA37" s="101"/>
      <c r="AB37" s="99" t="s">
        <v>0</v>
      </c>
      <c r="AC37" s="100" t="s">
        <v>18</v>
      </c>
      <c r="AD37" s="101"/>
      <c r="AE37" s="101" t="s">
        <v>19</v>
      </c>
      <c r="AF37" s="102"/>
      <c r="AG37" s="101"/>
      <c r="AH37" s="103"/>
    </row>
    <row r="38" spans="1:34" ht="17.25" hidden="1" customHeight="1" thickBot="1" x14ac:dyDescent="0.35">
      <c r="A38" s="53"/>
      <c r="B38" s="104" t="s">
        <v>15</v>
      </c>
      <c r="C38" s="105" t="s">
        <v>26</v>
      </c>
      <c r="D38" s="200">
        <f>+D7</f>
        <v>44042</v>
      </c>
      <c r="E38" s="126"/>
      <c r="F38" s="201">
        <f>+D9</f>
        <v>18590679</v>
      </c>
      <c r="G38" s="108"/>
      <c r="H38" s="109">
        <v>0</v>
      </c>
      <c r="I38" s="110">
        <v>0</v>
      </c>
      <c r="J38" s="202">
        <f>-F38</f>
        <v>-18590679</v>
      </c>
      <c r="K38" s="203"/>
      <c r="L38" s="204"/>
      <c r="M38" s="129"/>
      <c r="N38" s="129">
        <f>F38</f>
        <v>18590679</v>
      </c>
      <c r="O38" s="129">
        <f>J38*D17</f>
        <v>-18711240.554932512</v>
      </c>
      <c r="P38" s="205"/>
      <c r="Q38" s="137"/>
      <c r="R38" s="79"/>
      <c r="S38" s="56"/>
      <c r="U38" s="119"/>
      <c r="V38" s="120"/>
      <c r="W38" s="121"/>
      <c r="X38" s="122"/>
      <c r="Y38" s="123"/>
      <c r="Z38" s="124"/>
      <c r="AA38" s="94"/>
      <c r="AB38" s="119"/>
      <c r="AC38" s="120"/>
      <c r="AD38" s="121"/>
      <c r="AE38" s="122"/>
      <c r="AF38" s="123"/>
      <c r="AG38" s="124"/>
      <c r="AH38" s="95"/>
    </row>
    <row r="39" spans="1:34" ht="17.25" hidden="1" customHeight="1" x14ac:dyDescent="0.3">
      <c r="A39" s="53"/>
      <c r="B39" s="206"/>
      <c r="C39" s="4"/>
      <c r="D39" s="7">
        <v>44061</v>
      </c>
      <c r="E39" s="126"/>
      <c r="F39" s="207">
        <f>F38-I39</f>
        <v>18590679</v>
      </c>
      <c r="G39" s="13"/>
      <c r="H39" s="208"/>
      <c r="I39" s="128"/>
      <c r="J39" s="129">
        <f>H39+I39</f>
        <v>0</v>
      </c>
      <c r="K39" s="111">
        <f>J39</f>
        <v>0</v>
      </c>
      <c r="L39" s="130">
        <f>ROUND((N38*B39*$L$35/$C$34),0)</f>
        <v>0</v>
      </c>
      <c r="M39" s="115">
        <f t="shared" ref="M39:M50" si="15">+I39</f>
        <v>0</v>
      </c>
      <c r="N39" s="115">
        <f>IF((N38-M39)&lt;0,0,(N38-M39))</f>
        <v>18590679</v>
      </c>
      <c r="O39" s="115">
        <f t="shared" ref="O39:O49" si="16">L39+M39</f>
        <v>0</v>
      </c>
      <c r="P39" s="131"/>
      <c r="Q39" s="137"/>
      <c r="R39" s="79"/>
      <c r="S39" s="56"/>
      <c r="U39" s="119">
        <f t="shared" ref="U39:U53" si="17">+D39</f>
        <v>44061</v>
      </c>
      <c r="V39" s="120">
        <f>+J39</f>
        <v>0</v>
      </c>
      <c r="W39" s="121">
        <f t="shared" ref="W39:W50" si="18">+(U39-$V$34)/360</f>
        <v>5.2777777777777778E-2</v>
      </c>
      <c r="X39" s="122">
        <f>+V39/$AC$57*W39</f>
        <v>0</v>
      </c>
      <c r="Y39" s="123">
        <f>+V39/(1+$H$35)^W39</f>
        <v>0</v>
      </c>
      <c r="Z39" s="124">
        <f>+Y39/$AF$57*W39</f>
        <v>0</v>
      </c>
      <c r="AA39" s="94"/>
      <c r="AB39" s="119">
        <f>+U39</f>
        <v>44061</v>
      </c>
      <c r="AC39" s="120">
        <f t="shared" ref="AC39:AC53" si="19">+O39</f>
        <v>0</v>
      </c>
      <c r="AD39" s="121">
        <f t="shared" ref="AD39:AD50" si="20">+(AB39-$V$34)/360</f>
        <v>5.2777777777777778E-2</v>
      </c>
      <c r="AE39" s="122">
        <f t="shared" ref="AE39:AE56" si="21">+AC39/$AC$57*AD39</f>
        <v>0</v>
      </c>
      <c r="AF39" s="123">
        <f>+AC39/(1+$L$35)^AD39</f>
        <v>0</v>
      </c>
      <c r="AG39" s="124">
        <f t="shared" ref="AG39:AG56" si="22">+AF39/$AF$57*AD39</f>
        <v>0</v>
      </c>
      <c r="AH39" s="95"/>
    </row>
    <row r="40" spans="1:34" ht="16.5" hidden="1" customHeight="1" x14ac:dyDescent="0.3">
      <c r="A40" s="53"/>
      <c r="B40" s="206"/>
      <c r="C40" s="4"/>
      <c r="D40" s="7">
        <v>44092</v>
      </c>
      <c r="E40" s="132"/>
      <c r="F40" s="209">
        <f>F39-I40</f>
        <v>18590679</v>
      </c>
      <c r="G40" s="13"/>
      <c r="H40" s="208"/>
      <c r="I40" s="133"/>
      <c r="J40" s="115">
        <f t="shared" ref="J40:J49" si="23">H40+I40</f>
        <v>0</v>
      </c>
      <c r="K40" s="111">
        <f t="shared" ref="K40:K55" si="24">J40</f>
        <v>0</v>
      </c>
      <c r="L40" s="130">
        <f t="shared" ref="L40:L56" si="25">ROUND((N39*B40*$L$35/$C$34),0)</f>
        <v>0</v>
      </c>
      <c r="M40" s="115">
        <f t="shared" si="15"/>
        <v>0</v>
      </c>
      <c r="N40" s="115">
        <f t="shared" ref="N40:N50" si="26">IF((N39-M40)&lt;0,0,(N39-M40))</f>
        <v>18590679</v>
      </c>
      <c r="O40" s="115">
        <f t="shared" si="16"/>
        <v>0</v>
      </c>
      <c r="P40" s="131"/>
      <c r="Q40" s="137"/>
      <c r="R40" s="79"/>
      <c r="S40" s="56"/>
      <c r="U40" s="119">
        <f t="shared" si="17"/>
        <v>44092</v>
      </c>
      <c r="V40" s="120">
        <f t="shared" ref="V40:V53" si="27">+J40</f>
        <v>0</v>
      </c>
      <c r="W40" s="121">
        <f t="shared" si="18"/>
        <v>0.1388888888888889</v>
      </c>
      <c r="X40" s="122">
        <f t="shared" ref="X40:X53" si="28">+V40/$AC$57*W40</f>
        <v>0</v>
      </c>
      <c r="Y40" s="123">
        <f t="shared" ref="Y40:Y53" si="29">+V40/(1+$H$35)^W40</f>
        <v>0</v>
      </c>
      <c r="Z40" s="124">
        <f t="shared" ref="Z40:Z52" si="30">+Y40/$AF$57*W40</f>
        <v>0</v>
      </c>
      <c r="AA40" s="94"/>
      <c r="AB40" s="119">
        <f t="shared" ref="AB40:AB53" si="31">+U40</f>
        <v>44092</v>
      </c>
      <c r="AC40" s="120">
        <f t="shared" si="19"/>
        <v>0</v>
      </c>
      <c r="AD40" s="121">
        <f t="shared" si="20"/>
        <v>0.1388888888888889</v>
      </c>
      <c r="AE40" s="122">
        <f t="shared" si="21"/>
        <v>0</v>
      </c>
      <c r="AF40" s="123">
        <f t="shared" ref="AF40:AF53" si="32">+AC40/(1+$L$35)^AD40</f>
        <v>0</v>
      </c>
      <c r="AG40" s="124">
        <f t="shared" si="22"/>
        <v>0</v>
      </c>
      <c r="AH40" s="95"/>
    </row>
    <row r="41" spans="1:34" ht="17.25" hidden="1" customHeight="1" x14ac:dyDescent="0.3">
      <c r="A41" s="53"/>
      <c r="B41" s="206"/>
      <c r="C41" s="4"/>
      <c r="D41" s="7">
        <v>44123</v>
      </c>
      <c r="E41" s="132"/>
      <c r="F41" s="209">
        <f t="shared" ref="F41:F52" si="33">F40-I41</f>
        <v>18590679</v>
      </c>
      <c r="G41" s="13"/>
      <c r="H41" s="208"/>
      <c r="I41" s="133"/>
      <c r="J41" s="115">
        <f t="shared" si="23"/>
        <v>0</v>
      </c>
      <c r="K41" s="111">
        <f t="shared" si="24"/>
        <v>0</v>
      </c>
      <c r="L41" s="130">
        <f t="shared" si="25"/>
        <v>0</v>
      </c>
      <c r="M41" s="115">
        <f t="shared" si="15"/>
        <v>0</v>
      </c>
      <c r="N41" s="115">
        <f t="shared" si="26"/>
        <v>18590679</v>
      </c>
      <c r="O41" s="115">
        <f t="shared" si="16"/>
        <v>0</v>
      </c>
      <c r="P41" s="131"/>
      <c r="Q41" s="137"/>
      <c r="R41" s="79"/>
      <c r="S41" s="56"/>
      <c r="U41" s="119">
        <f t="shared" si="17"/>
        <v>44123</v>
      </c>
      <c r="V41" s="120">
        <f t="shared" si="27"/>
        <v>0</v>
      </c>
      <c r="W41" s="121">
        <f t="shared" si="18"/>
        <v>0.22500000000000001</v>
      </c>
      <c r="X41" s="122">
        <f t="shared" si="28"/>
        <v>0</v>
      </c>
      <c r="Y41" s="123">
        <f t="shared" si="29"/>
        <v>0</v>
      </c>
      <c r="Z41" s="124">
        <f t="shared" si="30"/>
        <v>0</v>
      </c>
      <c r="AA41" s="94"/>
      <c r="AB41" s="119">
        <f t="shared" si="31"/>
        <v>44123</v>
      </c>
      <c r="AC41" s="120">
        <f t="shared" si="19"/>
        <v>0</v>
      </c>
      <c r="AD41" s="121">
        <f t="shared" si="20"/>
        <v>0.22500000000000001</v>
      </c>
      <c r="AE41" s="122">
        <f t="shared" si="21"/>
        <v>0</v>
      </c>
      <c r="AF41" s="123">
        <f t="shared" si="32"/>
        <v>0</v>
      </c>
      <c r="AG41" s="124">
        <f t="shared" si="22"/>
        <v>0</v>
      </c>
      <c r="AH41" s="95"/>
    </row>
    <row r="42" spans="1:34" ht="17.25" hidden="1" customHeight="1" x14ac:dyDescent="0.25">
      <c r="A42" s="53"/>
      <c r="B42" s="206"/>
      <c r="C42" s="4"/>
      <c r="D42" s="7">
        <v>44153</v>
      </c>
      <c r="E42" s="132"/>
      <c r="F42" s="209">
        <f t="shared" si="33"/>
        <v>18590679</v>
      </c>
      <c r="G42" s="13"/>
      <c r="H42" s="208"/>
      <c r="I42" s="133"/>
      <c r="J42" s="115">
        <f t="shared" si="23"/>
        <v>0</v>
      </c>
      <c r="K42" s="111">
        <f t="shared" si="24"/>
        <v>0</v>
      </c>
      <c r="L42" s="130">
        <f t="shared" si="25"/>
        <v>0</v>
      </c>
      <c r="M42" s="115">
        <f t="shared" si="15"/>
        <v>0</v>
      </c>
      <c r="N42" s="115">
        <f t="shared" si="26"/>
        <v>18590679</v>
      </c>
      <c r="O42" s="115">
        <f t="shared" si="16"/>
        <v>0</v>
      </c>
      <c r="P42" s="131"/>
      <c r="Q42" s="17"/>
      <c r="R42" s="79"/>
      <c r="S42" s="56"/>
      <c r="U42" s="119">
        <f t="shared" si="17"/>
        <v>44153</v>
      </c>
      <c r="V42" s="120">
        <f t="shared" si="27"/>
        <v>0</v>
      </c>
      <c r="W42" s="121">
        <f t="shared" si="18"/>
        <v>0.30833333333333335</v>
      </c>
      <c r="X42" s="122">
        <f t="shared" si="28"/>
        <v>0</v>
      </c>
      <c r="Y42" s="123">
        <f t="shared" si="29"/>
        <v>0</v>
      </c>
      <c r="Z42" s="124">
        <f t="shared" si="30"/>
        <v>0</v>
      </c>
      <c r="AA42" s="94"/>
      <c r="AB42" s="119">
        <f t="shared" si="31"/>
        <v>44153</v>
      </c>
      <c r="AC42" s="120">
        <f t="shared" si="19"/>
        <v>0</v>
      </c>
      <c r="AD42" s="121">
        <f t="shared" si="20"/>
        <v>0.30833333333333335</v>
      </c>
      <c r="AE42" s="122">
        <f t="shared" si="21"/>
        <v>0</v>
      </c>
      <c r="AF42" s="123">
        <f t="shared" si="32"/>
        <v>0</v>
      </c>
      <c r="AG42" s="124">
        <f t="shared" si="22"/>
        <v>0</v>
      </c>
      <c r="AH42" s="95"/>
    </row>
    <row r="43" spans="1:34" ht="15.75" hidden="1" customHeight="1" x14ac:dyDescent="0.25">
      <c r="A43" s="53"/>
      <c r="B43" s="206"/>
      <c r="C43" s="4"/>
      <c r="D43" s="7">
        <v>44183</v>
      </c>
      <c r="E43" s="132"/>
      <c r="F43" s="209">
        <f t="shared" si="33"/>
        <v>18590679</v>
      </c>
      <c r="G43" s="13"/>
      <c r="H43" s="208"/>
      <c r="I43" s="133"/>
      <c r="J43" s="115">
        <f t="shared" si="23"/>
        <v>0</v>
      </c>
      <c r="K43" s="111">
        <f t="shared" si="24"/>
        <v>0</v>
      </c>
      <c r="L43" s="130">
        <f t="shared" si="25"/>
        <v>0</v>
      </c>
      <c r="M43" s="115">
        <f t="shared" si="15"/>
        <v>0</v>
      </c>
      <c r="N43" s="115">
        <f t="shared" si="26"/>
        <v>18590679</v>
      </c>
      <c r="O43" s="115">
        <f t="shared" si="16"/>
        <v>0</v>
      </c>
      <c r="P43" s="131"/>
      <c r="Q43" s="17"/>
      <c r="R43" s="79"/>
      <c r="S43" s="56"/>
      <c r="U43" s="119">
        <f t="shared" si="17"/>
        <v>44183</v>
      </c>
      <c r="V43" s="120">
        <f t="shared" si="27"/>
        <v>0</v>
      </c>
      <c r="W43" s="121">
        <f t="shared" si="18"/>
        <v>0.39166666666666666</v>
      </c>
      <c r="X43" s="122">
        <f t="shared" si="28"/>
        <v>0</v>
      </c>
      <c r="Y43" s="123">
        <f t="shared" si="29"/>
        <v>0</v>
      </c>
      <c r="Z43" s="124">
        <f t="shared" si="30"/>
        <v>0</v>
      </c>
      <c r="AA43" s="94"/>
      <c r="AB43" s="119">
        <f t="shared" si="31"/>
        <v>44183</v>
      </c>
      <c r="AC43" s="120">
        <f t="shared" si="19"/>
        <v>0</v>
      </c>
      <c r="AD43" s="121">
        <f t="shared" si="20"/>
        <v>0.39166666666666666</v>
      </c>
      <c r="AE43" s="122">
        <f t="shared" si="21"/>
        <v>0</v>
      </c>
      <c r="AF43" s="123">
        <f t="shared" si="32"/>
        <v>0</v>
      </c>
      <c r="AG43" s="124">
        <f t="shared" si="22"/>
        <v>0</v>
      </c>
      <c r="AH43" s="95"/>
    </row>
    <row r="44" spans="1:34" ht="17.25" hidden="1" customHeight="1" x14ac:dyDescent="0.25">
      <c r="A44" s="53"/>
      <c r="B44" s="206"/>
      <c r="C44" s="4"/>
      <c r="D44" s="7">
        <v>44214</v>
      </c>
      <c r="E44" s="132"/>
      <c r="F44" s="209">
        <f t="shared" si="33"/>
        <v>18590679</v>
      </c>
      <c r="G44" s="13"/>
      <c r="H44" s="208"/>
      <c r="I44" s="133"/>
      <c r="J44" s="115">
        <f t="shared" si="23"/>
        <v>0</v>
      </c>
      <c r="K44" s="111">
        <f t="shared" si="24"/>
        <v>0</v>
      </c>
      <c r="L44" s="130">
        <f t="shared" si="25"/>
        <v>0</v>
      </c>
      <c r="M44" s="115">
        <f t="shared" si="15"/>
        <v>0</v>
      </c>
      <c r="N44" s="115">
        <f t="shared" si="26"/>
        <v>18590679</v>
      </c>
      <c r="O44" s="115">
        <f t="shared" si="16"/>
        <v>0</v>
      </c>
      <c r="P44" s="131"/>
      <c r="Q44" s="17"/>
      <c r="R44" s="79"/>
      <c r="S44" s="56"/>
      <c r="U44" s="119">
        <f t="shared" si="17"/>
        <v>44214</v>
      </c>
      <c r="V44" s="120">
        <f t="shared" si="27"/>
        <v>0</v>
      </c>
      <c r="W44" s="121">
        <f t="shared" si="18"/>
        <v>0.4777777777777778</v>
      </c>
      <c r="X44" s="122">
        <f t="shared" si="28"/>
        <v>0</v>
      </c>
      <c r="Y44" s="123">
        <f t="shared" si="29"/>
        <v>0</v>
      </c>
      <c r="Z44" s="124">
        <f t="shared" si="30"/>
        <v>0</v>
      </c>
      <c r="AA44" s="94"/>
      <c r="AB44" s="119">
        <f t="shared" si="31"/>
        <v>44214</v>
      </c>
      <c r="AC44" s="120">
        <f t="shared" si="19"/>
        <v>0</v>
      </c>
      <c r="AD44" s="121">
        <f t="shared" si="20"/>
        <v>0.4777777777777778</v>
      </c>
      <c r="AE44" s="122">
        <f t="shared" si="21"/>
        <v>0</v>
      </c>
      <c r="AF44" s="123">
        <f t="shared" si="32"/>
        <v>0</v>
      </c>
      <c r="AG44" s="124">
        <f t="shared" si="22"/>
        <v>0</v>
      </c>
      <c r="AH44" s="95"/>
    </row>
    <row r="45" spans="1:34" ht="17.25" hidden="1" customHeight="1" x14ac:dyDescent="0.25">
      <c r="A45" s="53"/>
      <c r="B45" s="206"/>
      <c r="C45" s="4"/>
      <c r="D45" s="7">
        <v>44245</v>
      </c>
      <c r="E45" s="132"/>
      <c r="F45" s="209">
        <f t="shared" si="33"/>
        <v>18590679</v>
      </c>
      <c r="G45" s="13"/>
      <c r="H45" s="208"/>
      <c r="I45" s="133"/>
      <c r="J45" s="115">
        <f t="shared" si="23"/>
        <v>0</v>
      </c>
      <c r="K45" s="111">
        <f t="shared" si="24"/>
        <v>0</v>
      </c>
      <c r="L45" s="130">
        <f t="shared" si="25"/>
        <v>0</v>
      </c>
      <c r="M45" s="115">
        <f t="shared" si="15"/>
        <v>0</v>
      </c>
      <c r="N45" s="115">
        <f t="shared" si="26"/>
        <v>18590679</v>
      </c>
      <c r="O45" s="115">
        <f t="shared" si="16"/>
        <v>0</v>
      </c>
      <c r="P45" s="131"/>
      <c r="Q45" s="146"/>
      <c r="R45" s="79"/>
      <c r="S45" s="56"/>
      <c r="U45" s="119">
        <f t="shared" si="17"/>
        <v>44245</v>
      </c>
      <c r="V45" s="120">
        <f t="shared" si="27"/>
        <v>0</v>
      </c>
      <c r="W45" s="121">
        <f t="shared" si="18"/>
        <v>0.56388888888888888</v>
      </c>
      <c r="X45" s="122">
        <f t="shared" si="28"/>
        <v>0</v>
      </c>
      <c r="Y45" s="123">
        <f t="shared" si="29"/>
        <v>0</v>
      </c>
      <c r="Z45" s="124">
        <f t="shared" si="30"/>
        <v>0</v>
      </c>
      <c r="AA45" s="94"/>
      <c r="AB45" s="119">
        <f t="shared" si="31"/>
        <v>44245</v>
      </c>
      <c r="AC45" s="120">
        <f t="shared" si="19"/>
        <v>0</v>
      </c>
      <c r="AD45" s="121">
        <f t="shared" si="20"/>
        <v>0.56388888888888888</v>
      </c>
      <c r="AE45" s="122">
        <f t="shared" si="21"/>
        <v>0</v>
      </c>
      <c r="AF45" s="123">
        <f t="shared" si="32"/>
        <v>0</v>
      </c>
      <c r="AG45" s="124">
        <f t="shared" si="22"/>
        <v>0</v>
      </c>
      <c r="AH45" s="95"/>
    </row>
    <row r="46" spans="1:34" ht="17.25" hidden="1" customHeight="1" x14ac:dyDescent="0.3">
      <c r="A46" s="53"/>
      <c r="B46" s="206"/>
      <c r="C46" s="4"/>
      <c r="D46" s="7">
        <v>44273</v>
      </c>
      <c r="E46" s="132"/>
      <c r="F46" s="209">
        <f t="shared" si="33"/>
        <v>18590679</v>
      </c>
      <c r="G46" s="13"/>
      <c r="H46" s="208"/>
      <c r="I46" s="133"/>
      <c r="J46" s="115">
        <f t="shared" si="23"/>
        <v>0</v>
      </c>
      <c r="K46" s="111">
        <f t="shared" si="24"/>
        <v>0</v>
      </c>
      <c r="L46" s="130">
        <f t="shared" si="25"/>
        <v>0</v>
      </c>
      <c r="M46" s="115">
        <f t="shared" si="15"/>
        <v>0</v>
      </c>
      <c r="N46" s="115">
        <f t="shared" si="26"/>
        <v>18590679</v>
      </c>
      <c r="O46" s="115">
        <f t="shared" si="16"/>
        <v>0</v>
      </c>
      <c r="P46" s="131"/>
      <c r="Q46" s="137"/>
      <c r="R46" s="79"/>
      <c r="S46" s="56"/>
      <c r="U46" s="119">
        <f t="shared" si="17"/>
        <v>44273</v>
      </c>
      <c r="V46" s="120">
        <f t="shared" si="27"/>
        <v>0</v>
      </c>
      <c r="W46" s="121">
        <f t="shared" si="18"/>
        <v>0.64166666666666672</v>
      </c>
      <c r="X46" s="122">
        <f t="shared" si="28"/>
        <v>0</v>
      </c>
      <c r="Y46" s="123">
        <f t="shared" si="29"/>
        <v>0</v>
      </c>
      <c r="Z46" s="124">
        <f t="shared" si="30"/>
        <v>0</v>
      </c>
      <c r="AA46" s="94"/>
      <c r="AB46" s="119">
        <f t="shared" si="31"/>
        <v>44273</v>
      </c>
      <c r="AC46" s="120">
        <f t="shared" si="19"/>
        <v>0</v>
      </c>
      <c r="AD46" s="121">
        <f t="shared" si="20"/>
        <v>0.64166666666666672</v>
      </c>
      <c r="AE46" s="122">
        <f t="shared" si="21"/>
        <v>0</v>
      </c>
      <c r="AF46" s="123">
        <f t="shared" si="32"/>
        <v>0</v>
      </c>
      <c r="AG46" s="124">
        <f t="shared" si="22"/>
        <v>0</v>
      </c>
      <c r="AH46" s="95"/>
    </row>
    <row r="47" spans="1:34" ht="17.25" hidden="1" customHeight="1" x14ac:dyDescent="0.25">
      <c r="A47" s="53"/>
      <c r="B47" s="206"/>
      <c r="C47" s="4"/>
      <c r="D47" s="7">
        <v>44305</v>
      </c>
      <c r="E47" s="132"/>
      <c r="F47" s="209">
        <f t="shared" si="33"/>
        <v>18590679</v>
      </c>
      <c r="G47" s="13"/>
      <c r="H47" s="208"/>
      <c r="I47" s="133"/>
      <c r="J47" s="115">
        <f t="shared" si="23"/>
        <v>0</v>
      </c>
      <c r="K47" s="111">
        <f t="shared" si="24"/>
        <v>0</v>
      </c>
      <c r="L47" s="130">
        <f t="shared" si="25"/>
        <v>0</v>
      </c>
      <c r="M47" s="115">
        <f t="shared" si="15"/>
        <v>0</v>
      </c>
      <c r="N47" s="115">
        <f t="shared" si="26"/>
        <v>18590679</v>
      </c>
      <c r="O47" s="115">
        <f t="shared" si="16"/>
        <v>0</v>
      </c>
      <c r="P47" s="131"/>
      <c r="Q47" s="146"/>
      <c r="R47" s="79"/>
      <c r="S47" s="56"/>
      <c r="U47" s="119">
        <f t="shared" si="17"/>
        <v>44305</v>
      </c>
      <c r="V47" s="120">
        <f t="shared" si="27"/>
        <v>0</v>
      </c>
      <c r="W47" s="121">
        <f t="shared" si="18"/>
        <v>0.73055555555555551</v>
      </c>
      <c r="X47" s="122">
        <f t="shared" si="28"/>
        <v>0</v>
      </c>
      <c r="Y47" s="123">
        <f t="shared" si="29"/>
        <v>0</v>
      </c>
      <c r="Z47" s="124">
        <f t="shared" si="30"/>
        <v>0</v>
      </c>
      <c r="AA47" s="94"/>
      <c r="AB47" s="119">
        <f t="shared" si="31"/>
        <v>44305</v>
      </c>
      <c r="AC47" s="120">
        <f t="shared" si="19"/>
        <v>0</v>
      </c>
      <c r="AD47" s="121">
        <f t="shared" si="20"/>
        <v>0.73055555555555551</v>
      </c>
      <c r="AE47" s="122">
        <f t="shared" si="21"/>
        <v>0</v>
      </c>
      <c r="AF47" s="123">
        <f t="shared" si="32"/>
        <v>0</v>
      </c>
      <c r="AG47" s="124">
        <f t="shared" si="22"/>
        <v>0</v>
      </c>
      <c r="AH47" s="95"/>
    </row>
    <row r="48" spans="1:34" ht="17.25" hidden="1" customHeight="1" x14ac:dyDescent="0.3">
      <c r="A48" s="53"/>
      <c r="B48" s="206"/>
      <c r="C48" s="4"/>
      <c r="D48" s="7">
        <v>44334</v>
      </c>
      <c r="E48" s="132"/>
      <c r="F48" s="209">
        <f t="shared" si="33"/>
        <v>18590679</v>
      </c>
      <c r="G48" s="13"/>
      <c r="H48" s="208"/>
      <c r="I48" s="133"/>
      <c r="J48" s="115">
        <f t="shared" si="23"/>
        <v>0</v>
      </c>
      <c r="K48" s="111">
        <f t="shared" si="24"/>
        <v>0</v>
      </c>
      <c r="L48" s="130">
        <f t="shared" si="25"/>
        <v>0</v>
      </c>
      <c r="M48" s="115">
        <f t="shared" si="15"/>
        <v>0</v>
      </c>
      <c r="N48" s="115">
        <f t="shared" si="26"/>
        <v>18590679</v>
      </c>
      <c r="O48" s="115">
        <f t="shared" si="16"/>
        <v>0</v>
      </c>
      <c r="P48" s="131"/>
      <c r="Q48" s="137"/>
      <c r="R48" s="79"/>
      <c r="S48" s="56"/>
      <c r="U48" s="119">
        <f t="shared" si="17"/>
        <v>44334</v>
      </c>
      <c r="V48" s="120">
        <f t="shared" si="27"/>
        <v>0</v>
      </c>
      <c r="W48" s="121">
        <f t="shared" si="18"/>
        <v>0.81111111111111112</v>
      </c>
      <c r="X48" s="122">
        <f t="shared" si="28"/>
        <v>0</v>
      </c>
      <c r="Y48" s="123">
        <f t="shared" si="29"/>
        <v>0</v>
      </c>
      <c r="Z48" s="124">
        <f t="shared" si="30"/>
        <v>0</v>
      </c>
      <c r="AA48" s="94"/>
      <c r="AB48" s="119">
        <f t="shared" si="31"/>
        <v>44334</v>
      </c>
      <c r="AC48" s="120">
        <f t="shared" si="19"/>
        <v>0</v>
      </c>
      <c r="AD48" s="121">
        <f t="shared" si="20"/>
        <v>0.81111111111111112</v>
      </c>
      <c r="AE48" s="122">
        <f t="shared" si="21"/>
        <v>0</v>
      </c>
      <c r="AF48" s="123">
        <f t="shared" si="32"/>
        <v>0</v>
      </c>
      <c r="AG48" s="124">
        <f t="shared" si="22"/>
        <v>0</v>
      </c>
      <c r="AH48" s="95"/>
    </row>
    <row r="49" spans="1:34" ht="17.25" hidden="1" customHeight="1" x14ac:dyDescent="0.3">
      <c r="A49" s="53"/>
      <c r="B49" s="206">
        <f>+D49-$D$35</f>
        <v>338</v>
      </c>
      <c r="C49" s="4">
        <f>+B49</f>
        <v>338</v>
      </c>
      <c r="D49" s="7">
        <v>44365</v>
      </c>
      <c r="E49" s="132"/>
      <c r="F49" s="209">
        <f t="shared" si="33"/>
        <v>18590679</v>
      </c>
      <c r="G49" s="13">
        <v>0</v>
      </c>
      <c r="H49" s="208">
        <v>1330476.7382364571</v>
      </c>
      <c r="I49" s="133">
        <f>G49*$F$38</f>
        <v>0</v>
      </c>
      <c r="J49" s="115">
        <f t="shared" si="23"/>
        <v>1330476.7382364571</v>
      </c>
      <c r="K49" s="111">
        <f t="shared" si="24"/>
        <v>1330476.7382364571</v>
      </c>
      <c r="L49" s="130">
        <v>1330476.7382364571</v>
      </c>
      <c r="M49" s="115">
        <f t="shared" si="15"/>
        <v>0</v>
      </c>
      <c r="N49" s="115">
        <f t="shared" si="26"/>
        <v>18590679</v>
      </c>
      <c r="O49" s="115">
        <f t="shared" si="16"/>
        <v>1330476.7382364571</v>
      </c>
      <c r="P49" s="131"/>
      <c r="Q49" s="137"/>
      <c r="R49" s="79"/>
      <c r="S49" s="56"/>
      <c r="U49" s="119">
        <f t="shared" si="17"/>
        <v>44365</v>
      </c>
      <c r="V49" s="120">
        <f>+J49</f>
        <v>1330476.7382364571</v>
      </c>
      <c r="W49" s="121">
        <f t="shared" si="18"/>
        <v>0.89722222222222225</v>
      </c>
      <c r="X49" s="122">
        <f t="shared" si="28"/>
        <v>4.7114356567761688E-2</v>
      </c>
      <c r="Y49" s="123">
        <f t="shared" si="29"/>
        <v>1044212.4654236739</v>
      </c>
      <c r="Z49" s="124">
        <f t="shared" si="30"/>
        <v>4.9838014449476158E-2</v>
      </c>
      <c r="AA49" s="94"/>
      <c r="AB49" s="119">
        <f t="shared" si="31"/>
        <v>44365</v>
      </c>
      <c r="AC49" s="120">
        <f t="shared" si="19"/>
        <v>1330476.7382364571</v>
      </c>
      <c r="AD49" s="121">
        <f t="shared" si="20"/>
        <v>0.89722222222222225</v>
      </c>
      <c r="AE49" s="122">
        <f t="shared" si="21"/>
        <v>4.7114356567761688E-2</v>
      </c>
      <c r="AF49" s="123">
        <f t="shared" si="32"/>
        <v>1029245.0636337118</v>
      </c>
      <c r="AG49" s="124">
        <f t="shared" si="22"/>
        <v>4.9123652563002614E-2</v>
      </c>
      <c r="AH49" s="95"/>
    </row>
    <row r="50" spans="1:34" ht="17.25" hidden="1" customHeight="1" x14ac:dyDescent="0.3">
      <c r="A50" s="53"/>
      <c r="B50" s="206">
        <f>+D50-D35</f>
        <v>369</v>
      </c>
      <c r="C50" s="4">
        <f>+B50</f>
        <v>369</v>
      </c>
      <c r="D50" s="7">
        <v>44396</v>
      </c>
      <c r="E50" s="132"/>
      <c r="F50" s="209">
        <f t="shared" si="33"/>
        <v>13517421</v>
      </c>
      <c r="G50" s="242">
        <v>0.27289256083653535</v>
      </c>
      <c r="H50" s="208">
        <f>ROUND((F49*B50*$H$35/$C$34),0)-H49</f>
        <v>4495791.2617635429</v>
      </c>
      <c r="I50" s="133">
        <f t="shared" ref="I50:I52" si="34">G50*$F$38</f>
        <v>5073258</v>
      </c>
      <c r="J50" s="115">
        <f>H50+I50</f>
        <v>9569049.2617635429</v>
      </c>
      <c r="K50" s="111">
        <f t="shared" si="24"/>
        <v>9569049.2617635429</v>
      </c>
      <c r="L50" s="130">
        <f>ROUND((N49*B50*$L$35/$C$34),0)-H49</f>
        <v>4895172.2617635429</v>
      </c>
      <c r="M50" s="115">
        <f t="shared" si="15"/>
        <v>5073258</v>
      </c>
      <c r="N50" s="115">
        <f t="shared" si="26"/>
        <v>13517421</v>
      </c>
      <c r="O50" s="115">
        <f>L50+M50</f>
        <v>9968430.2617635429</v>
      </c>
      <c r="P50" s="131"/>
      <c r="Q50" s="137"/>
      <c r="R50" s="79"/>
      <c r="S50" s="56"/>
      <c r="U50" s="119">
        <f t="shared" si="17"/>
        <v>44396</v>
      </c>
      <c r="V50" s="120">
        <f t="shared" si="27"/>
        <v>9569049.2617635429</v>
      </c>
      <c r="W50" s="121">
        <f t="shared" si="18"/>
        <v>0.98333333333333328</v>
      </c>
      <c r="X50" s="122">
        <f t="shared" si="28"/>
        <v>0.37137743180679433</v>
      </c>
      <c r="Y50" s="123">
        <f t="shared" si="29"/>
        <v>7337565.9259808995</v>
      </c>
      <c r="Z50" s="124">
        <f t="shared" si="30"/>
        <v>0.38381736033738428</v>
      </c>
      <c r="AA50" s="94"/>
      <c r="AB50" s="119">
        <f t="shared" si="31"/>
        <v>44396</v>
      </c>
      <c r="AC50" s="120">
        <f>+O50</f>
        <v>9968430.2617635429</v>
      </c>
      <c r="AD50" s="121">
        <f t="shared" si="20"/>
        <v>0.98333333333333328</v>
      </c>
      <c r="AE50" s="122">
        <f t="shared" si="21"/>
        <v>0.3868775181826789</v>
      </c>
      <c r="AF50" s="123">
        <f t="shared" si="32"/>
        <v>7523815.6843909333</v>
      </c>
      <c r="AG50" s="124">
        <f t="shared" si="22"/>
        <v>0.39355981326490036</v>
      </c>
      <c r="AH50" s="95"/>
    </row>
    <row r="51" spans="1:34" ht="17.25" hidden="1" customHeight="1" x14ac:dyDescent="0.3">
      <c r="A51" s="53"/>
      <c r="B51" s="206">
        <f t="shared" ref="B51:B52" si="35">+D51-D50</f>
        <v>30</v>
      </c>
      <c r="C51" s="4">
        <f t="shared" ref="C51:C52" si="36">+B51</f>
        <v>30</v>
      </c>
      <c r="D51" s="7">
        <v>44426</v>
      </c>
      <c r="E51" s="132"/>
      <c r="F51" s="209">
        <f t="shared" si="33"/>
        <v>5094689</v>
      </c>
      <c r="G51" s="242">
        <v>0.45306209633332917</v>
      </c>
      <c r="H51" s="208">
        <f t="shared" ref="H51:H52" si="37">ROUND((F50*B51*$H$35/$C$34),0)</f>
        <v>344416</v>
      </c>
      <c r="I51" s="133">
        <f t="shared" si="34"/>
        <v>8422732</v>
      </c>
      <c r="J51" s="115">
        <f t="shared" ref="J51:J52" si="38">H51+I51</f>
        <v>8767148</v>
      </c>
      <c r="K51" s="111">
        <f t="shared" ref="K51:K52" si="39">J51</f>
        <v>8767148</v>
      </c>
      <c r="L51" s="130">
        <f t="shared" ref="L51:L52" si="40">ROUND((N50*B51*$L$35/$C$34),0)</f>
        <v>368026</v>
      </c>
      <c r="M51" s="115">
        <f t="shared" ref="M51:M52" si="41">+I51</f>
        <v>8422732</v>
      </c>
      <c r="N51" s="115">
        <f t="shared" ref="N51:N52" si="42">IF((N50-M51)&lt;0,0,(N50-M51))</f>
        <v>5094689</v>
      </c>
      <c r="O51" s="115">
        <f t="shared" ref="O51:O52" si="43">L51+M51</f>
        <v>8790758</v>
      </c>
      <c r="P51" s="131"/>
      <c r="Q51" s="137"/>
      <c r="R51" s="79"/>
      <c r="S51" s="56"/>
      <c r="U51" s="119">
        <f t="shared" si="17"/>
        <v>44426</v>
      </c>
      <c r="V51" s="120">
        <f t="shared" si="27"/>
        <v>8767148</v>
      </c>
      <c r="W51" s="121">
        <f>+(U51-$V$34)/360</f>
        <v>1.0666666666666667</v>
      </c>
      <c r="X51" s="122">
        <f t="shared" si="28"/>
        <v>0.36909062881972865</v>
      </c>
      <c r="Y51" s="123">
        <f t="shared" si="29"/>
        <v>6573080.5743609928</v>
      </c>
      <c r="Z51" s="124">
        <f t="shared" si="30"/>
        <v>0.37296623488531144</v>
      </c>
      <c r="AA51" s="94"/>
      <c r="AB51" s="119">
        <f t="shared" si="31"/>
        <v>44426</v>
      </c>
      <c r="AC51" s="120">
        <f t="shared" si="19"/>
        <v>8790758</v>
      </c>
      <c r="AD51" s="121">
        <f>+(AB51-$V$34)/360</f>
        <v>1.0666666666666667</v>
      </c>
      <c r="AE51" s="122">
        <f t="shared" si="21"/>
        <v>0.37008459284844514</v>
      </c>
      <c r="AF51" s="123">
        <f t="shared" si="32"/>
        <v>6478623.3069539946</v>
      </c>
      <c r="AG51" s="124">
        <f t="shared" si="22"/>
        <v>0.3676065909582677</v>
      </c>
      <c r="AH51" s="95"/>
    </row>
    <row r="52" spans="1:34" ht="17.25" hidden="1" customHeight="1" x14ac:dyDescent="0.3">
      <c r="A52" s="53"/>
      <c r="B52" s="206">
        <f t="shared" si="35"/>
        <v>33</v>
      </c>
      <c r="C52" s="4">
        <f t="shared" si="36"/>
        <v>33</v>
      </c>
      <c r="D52" s="7">
        <v>44459</v>
      </c>
      <c r="E52" s="132"/>
      <c r="F52" s="209">
        <f t="shared" si="33"/>
        <v>0</v>
      </c>
      <c r="G52" s="242">
        <v>0.27404534283013549</v>
      </c>
      <c r="H52" s="208">
        <f t="shared" si="37"/>
        <v>142791</v>
      </c>
      <c r="I52" s="133">
        <f t="shared" si="34"/>
        <v>5094689</v>
      </c>
      <c r="J52" s="115">
        <f t="shared" si="38"/>
        <v>5237480</v>
      </c>
      <c r="K52" s="111">
        <f t="shared" si="39"/>
        <v>5237480</v>
      </c>
      <c r="L52" s="130">
        <f t="shared" si="40"/>
        <v>152579</v>
      </c>
      <c r="M52" s="115">
        <f t="shared" si="41"/>
        <v>5094689</v>
      </c>
      <c r="N52" s="115">
        <f t="shared" si="42"/>
        <v>0</v>
      </c>
      <c r="O52" s="115">
        <f t="shared" si="43"/>
        <v>5247268</v>
      </c>
      <c r="P52" s="131"/>
      <c r="Q52" s="137"/>
      <c r="R52" s="79"/>
      <c r="S52" s="56"/>
      <c r="U52" s="119">
        <f t="shared" si="17"/>
        <v>44459</v>
      </c>
      <c r="V52" s="120">
        <f t="shared" si="27"/>
        <v>5237480</v>
      </c>
      <c r="W52" s="121">
        <f>+(U52-$V$34)/360</f>
        <v>1.1583333333333334</v>
      </c>
      <c r="X52" s="122">
        <f t="shared" si="28"/>
        <v>0.23944285863907314</v>
      </c>
      <c r="Y52" s="123">
        <f>+V52/(1+$H$35)^W52</f>
        <v>3830743.9712110134</v>
      </c>
      <c r="Z52" s="124">
        <f t="shared" si="30"/>
        <v>0.23604158255171895</v>
      </c>
      <c r="AA52" s="94"/>
      <c r="AB52" s="119">
        <f t="shared" si="31"/>
        <v>44459</v>
      </c>
      <c r="AC52" s="120">
        <f t="shared" si="19"/>
        <v>5247268</v>
      </c>
      <c r="AD52" s="121">
        <f>+(AB52-$V$34)/360</f>
        <v>1.1583333333333334</v>
      </c>
      <c r="AE52" s="122">
        <f t="shared" si="21"/>
        <v>0.23989033847677357</v>
      </c>
      <c r="AF52" s="123">
        <f>+AC52/(1+$L$35)^AD52</f>
        <v>3767030.9229095257</v>
      </c>
      <c r="AG52" s="124">
        <f t="shared" si="22"/>
        <v>0.23211573189103829</v>
      </c>
      <c r="AH52" s="95"/>
    </row>
    <row r="53" spans="1:34" ht="17.25" hidden="1" customHeight="1" x14ac:dyDescent="0.3">
      <c r="A53" s="53"/>
      <c r="B53" s="206"/>
      <c r="C53" s="4"/>
      <c r="D53" s="243"/>
      <c r="E53" s="210"/>
      <c r="F53" s="209">
        <f>F52-I53</f>
        <v>0</v>
      </c>
      <c r="G53" s="13"/>
      <c r="H53" s="208">
        <f t="shared" ref="H53:H55" si="44">ROUND((F52*B53*$H$35/$C$34),0)</f>
        <v>0</v>
      </c>
      <c r="I53" s="133"/>
      <c r="J53" s="115">
        <f>H53+I53</f>
        <v>0</v>
      </c>
      <c r="K53" s="111">
        <f>J53-'VDF A'!I25</f>
        <v>0</v>
      </c>
      <c r="L53" s="130">
        <f t="shared" si="25"/>
        <v>0</v>
      </c>
      <c r="M53" s="115">
        <f>+I53</f>
        <v>0</v>
      </c>
      <c r="N53" s="115">
        <f>IF((N52-M53)&lt;0,0,(N52-M53))</f>
        <v>0</v>
      </c>
      <c r="O53" s="115">
        <f>L53+M53</f>
        <v>0</v>
      </c>
      <c r="P53" s="131">
        <f>J53/(1+$D$20)^(B53/365)</f>
        <v>0</v>
      </c>
      <c r="Q53" s="137"/>
      <c r="R53" s="79"/>
      <c r="S53" s="56"/>
      <c r="U53" s="119">
        <f t="shared" si="17"/>
        <v>0</v>
      </c>
      <c r="V53" s="120">
        <f t="shared" si="27"/>
        <v>0</v>
      </c>
      <c r="W53" s="121">
        <f t="shared" ref="W53:W56" si="45">+(U53-$V$34)/365</f>
        <v>-120.66301369863014</v>
      </c>
      <c r="X53" s="122">
        <f t="shared" si="28"/>
        <v>0</v>
      </c>
      <c r="Y53" s="123">
        <f t="shared" si="29"/>
        <v>0</v>
      </c>
      <c r="Z53" s="124">
        <f>+Y53/$Y$57*W53</f>
        <v>0</v>
      </c>
      <c r="AA53" s="94"/>
      <c r="AB53" s="119">
        <f t="shared" si="31"/>
        <v>0</v>
      </c>
      <c r="AC53" s="120">
        <f t="shared" si="19"/>
        <v>0</v>
      </c>
      <c r="AD53" s="121">
        <f t="shared" ref="AD53:AD56" si="46">+(AB53-$V$34)/365</f>
        <v>-120.66301369863014</v>
      </c>
      <c r="AE53" s="122">
        <f t="shared" si="21"/>
        <v>0</v>
      </c>
      <c r="AF53" s="123">
        <f t="shared" si="32"/>
        <v>0</v>
      </c>
      <c r="AG53" s="124">
        <f t="shared" si="22"/>
        <v>0</v>
      </c>
      <c r="AH53" s="95"/>
    </row>
    <row r="54" spans="1:34" ht="17.25" hidden="1" customHeight="1" x14ac:dyDescent="0.3">
      <c r="A54" s="53"/>
      <c r="B54" s="206"/>
      <c r="C54" s="4"/>
      <c r="D54" s="243"/>
      <c r="E54" s="210"/>
      <c r="F54" s="209">
        <f>F53-I54</f>
        <v>0</v>
      </c>
      <c r="G54" s="13"/>
      <c r="H54" s="208">
        <f t="shared" si="44"/>
        <v>0</v>
      </c>
      <c r="I54" s="133"/>
      <c r="J54" s="115">
        <f>H54+I54</f>
        <v>0</v>
      </c>
      <c r="K54" s="111">
        <f t="shared" si="24"/>
        <v>0</v>
      </c>
      <c r="L54" s="130">
        <f t="shared" si="25"/>
        <v>0</v>
      </c>
      <c r="M54" s="115">
        <f>+I54</f>
        <v>0</v>
      </c>
      <c r="N54" s="115">
        <f>IF((N53-M54)&lt;0,0,(N53-M54))</f>
        <v>0</v>
      </c>
      <c r="O54" s="115">
        <f>L54+M54</f>
        <v>0</v>
      </c>
      <c r="P54" s="131">
        <f>J54/(1+$D$20)^(B54/365)</f>
        <v>0</v>
      </c>
      <c r="Q54" s="137"/>
      <c r="R54" s="79"/>
      <c r="S54" s="56"/>
      <c r="U54" s="119">
        <f>+D54</f>
        <v>0</v>
      </c>
      <c r="V54" s="120">
        <f>+J54</f>
        <v>0</v>
      </c>
      <c r="W54" s="121">
        <f t="shared" si="45"/>
        <v>-120.66301369863014</v>
      </c>
      <c r="X54" s="122">
        <f>+V54/$V$57*W54</f>
        <v>0</v>
      </c>
      <c r="Y54" s="123">
        <f>+V54/(1+$H$35)^W54</f>
        <v>0</v>
      </c>
      <c r="Z54" s="124">
        <f>+Y54/$Y$57*W54</f>
        <v>0</v>
      </c>
      <c r="AA54" s="94"/>
      <c r="AB54" s="119">
        <f>+U54</f>
        <v>0</v>
      </c>
      <c r="AC54" s="120">
        <f>+O54</f>
        <v>0</v>
      </c>
      <c r="AD54" s="121">
        <f t="shared" si="46"/>
        <v>-120.66301369863014</v>
      </c>
      <c r="AE54" s="122">
        <f t="shared" si="21"/>
        <v>0</v>
      </c>
      <c r="AF54" s="123">
        <f>+AC54/(1+$L$35)^AD54</f>
        <v>0</v>
      </c>
      <c r="AG54" s="124">
        <f t="shared" si="22"/>
        <v>0</v>
      </c>
      <c r="AH54" s="95"/>
    </row>
    <row r="55" spans="1:34" ht="17.25" hidden="1" customHeight="1" x14ac:dyDescent="0.3">
      <c r="A55" s="53"/>
      <c r="B55" s="206"/>
      <c r="C55" s="4"/>
      <c r="D55" s="243"/>
      <c r="E55" s="210"/>
      <c r="F55" s="209">
        <f>F54-I55</f>
        <v>0</v>
      </c>
      <c r="G55" s="13"/>
      <c r="H55" s="208">
        <f t="shared" si="44"/>
        <v>0</v>
      </c>
      <c r="I55" s="133"/>
      <c r="J55" s="115">
        <f>H55+I55</f>
        <v>0</v>
      </c>
      <c r="K55" s="111">
        <f t="shared" si="24"/>
        <v>0</v>
      </c>
      <c r="L55" s="130">
        <f t="shared" si="25"/>
        <v>0</v>
      </c>
      <c r="M55" s="115">
        <f>+I55</f>
        <v>0</v>
      </c>
      <c r="N55" s="115">
        <f>IF((N54-M55)&lt;0,0,(N54-M55))</f>
        <v>0</v>
      </c>
      <c r="O55" s="115">
        <f>L55+M55</f>
        <v>0</v>
      </c>
      <c r="P55" s="131">
        <f>J55/(1+$D$20)^(B55/365)</f>
        <v>0</v>
      </c>
      <c r="Q55" s="137"/>
      <c r="R55" s="79"/>
      <c r="S55" s="56"/>
      <c r="U55" s="119">
        <f>+D55</f>
        <v>0</v>
      </c>
      <c r="V55" s="120">
        <f>+J55</f>
        <v>0</v>
      </c>
      <c r="W55" s="121">
        <f t="shared" si="45"/>
        <v>-120.66301369863014</v>
      </c>
      <c r="X55" s="122">
        <f>+V55/$V$57*W55</f>
        <v>0</v>
      </c>
      <c r="Y55" s="123">
        <f>+V55/(1+$H$35)^W55</f>
        <v>0</v>
      </c>
      <c r="Z55" s="124">
        <f>+Y55/$Y$57*W55</f>
        <v>0</v>
      </c>
      <c r="AA55" s="94"/>
      <c r="AB55" s="119">
        <f>+U55</f>
        <v>0</v>
      </c>
      <c r="AC55" s="120">
        <f>+O55</f>
        <v>0</v>
      </c>
      <c r="AD55" s="121">
        <f t="shared" si="46"/>
        <v>-120.66301369863014</v>
      </c>
      <c r="AE55" s="122">
        <f t="shared" si="21"/>
        <v>0</v>
      </c>
      <c r="AF55" s="123">
        <f>+AC55/(1+$L$35)^AD55</f>
        <v>0</v>
      </c>
      <c r="AG55" s="124">
        <f t="shared" si="22"/>
        <v>0</v>
      </c>
      <c r="AH55" s="95"/>
    </row>
    <row r="56" spans="1:34" ht="17.25" hidden="1" customHeight="1" thickBot="1" x14ac:dyDescent="0.35">
      <c r="A56" s="53"/>
      <c r="B56" s="211"/>
      <c r="C56" s="9"/>
      <c r="D56" s="244"/>
      <c r="E56" s="212"/>
      <c r="F56" s="213">
        <f>F55-I56</f>
        <v>0</v>
      </c>
      <c r="G56" s="14"/>
      <c r="H56" s="214">
        <f>F55*B56*$H$35/$C$34</f>
        <v>0</v>
      </c>
      <c r="I56" s="139"/>
      <c r="J56" s="140">
        <f>H56+I56</f>
        <v>0</v>
      </c>
      <c r="K56" s="140">
        <f>J56</f>
        <v>0</v>
      </c>
      <c r="L56" s="140">
        <f t="shared" si="25"/>
        <v>0</v>
      </c>
      <c r="M56" s="140">
        <f>+IF(N55&gt;(K56-L56),+IF(L56&gt;0,K56-L56,0),N55)</f>
        <v>0</v>
      </c>
      <c r="N56" s="140">
        <f>IF((N55-M56)&lt;0,0,(N55-M56))</f>
        <v>0</v>
      </c>
      <c r="O56" s="140">
        <f>L56+M56</f>
        <v>0</v>
      </c>
      <c r="P56" s="143">
        <f>J56/(1+$D$20)^(B56/365)</f>
        <v>0</v>
      </c>
      <c r="Q56" s="137"/>
      <c r="R56" s="79"/>
      <c r="S56" s="56"/>
      <c r="U56" s="119">
        <f>+D56</f>
        <v>0</v>
      </c>
      <c r="V56" s="120">
        <f>+J56</f>
        <v>0</v>
      </c>
      <c r="W56" s="121">
        <f t="shared" si="45"/>
        <v>-120.66301369863014</v>
      </c>
      <c r="X56" s="122">
        <f>+V56/$V$57*W56</f>
        <v>0</v>
      </c>
      <c r="Y56" s="123">
        <f>+V56/(1+$H$35)^W56</f>
        <v>0</v>
      </c>
      <c r="Z56" s="124">
        <f>+Y56/$Y$57*W56</f>
        <v>0</v>
      </c>
      <c r="AA56" s="94"/>
      <c r="AB56" s="119">
        <f>+U56</f>
        <v>0</v>
      </c>
      <c r="AC56" s="120">
        <f>+O56</f>
        <v>0</v>
      </c>
      <c r="AD56" s="121">
        <f t="shared" si="46"/>
        <v>-120.66301369863014</v>
      </c>
      <c r="AE56" s="122">
        <f t="shared" si="21"/>
        <v>0</v>
      </c>
      <c r="AF56" s="123">
        <f>+AC56/(1+$L$35)^AD56</f>
        <v>0</v>
      </c>
      <c r="AG56" s="124">
        <f t="shared" si="22"/>
        <v>0</v>
      </c>
      <c r="AH56" s="95"/>
    </row>
    <row r="57" spans="1:34" ht="17.25" hidden="1" customHeight="1" thickBot="1" x14ac:dyDescent="0.3">
      <c r="A57" s="53"/>
      <c r="B57" s="146"/>
      <c r="C57" s="146"/>
      <c r="D57" s="146"/>
      <c r="E57" s="146"/>
      <c r="F57" s="146"/>
      <c r="G57" s="215"/>
      <c r="H57" s="146"/>
      <c r="I57" s="146"/>
      <c r="J57" s="146"/>
      <c r="K57" s="146"/>
      <c r="L57" s="146"/>
      <c r="M57" s="146"/>
      <c r="N57" s="146"/>
      <c r="O57" s="146"/>
      <c r="P57" s="146"/>
      <c r="Q57" s="146"/>
      <c r="R57" s="216"/>
      <c r="S57" s="56"/>
      <c r="U57" s="149" t="s">
        <v>18</v>
      </c>
      <c r="V57" s="150">
        <f>SUM(V39:V56)</f>
        <v>24904154</v>
      </c>
      <c r="W57" s="121"/>
      <c r="X57" s="150">
        <f>SUM(X39:X52)</f>
        <v>1.0270252758333578</v>
      </c>
      <c r="Y57" s="150">
        <f>SUM(Y39:Y56)</f>
        <v>18785602.936976578</v>
      </c>
      <c r="Z57" s="151">
        <f>SUM(Z39:Z56)</f>
        <v>1.0426631922238909</v>
      </c>
      <c r="AA57" s="94" t="s">
        <v>20</v>
      </c>
      <c r="AB57" s="149" t="s">
        <v>18</v>
      </c>
      <c r="AC57" s="150">
        <f>SUM(AC39:AC56)</f>
        <v>25336933</v>
      </c>
      <c r="AD57" s="121"/>
      <c r="AE57" s="150">
        <f>SUM(AE39:AE52)</f>
        <v>1.0439668060756593</v>
      </c>
      <c r="AF57" s="150">
        <f>SUM(AF39:AF56)</f>
        <v>18798714.977888163</v>
      </c>
      <c r="AG57" s="151">
        <f>SUM(AG39:AG56)</f>
        <v>1.0424057886772089</v>
      </c>
      <c r="AH57" s="95" t="s">
        <v>20</v>
      </c>
    </row>
    <row r="58" spans="1:34" ht="15.75" hidden="1" customHeight="1" thickBot="1" x14ac:dyDescent="0.3">
      <c r="A58" s="53"/>
      <c r="B58" s="152"/>
      <c r="C58" s="152"/>
      <c r="D58" s="17"/>
      <c r="E58" s="17"/>
      <c r="F58" s="17"/>
      <c r="G58" s="17"/>
      <c r="H58" s="17"/>
      <c r="I58" s="17"/>
      <c r="J58" s="17"/>
      <c r="K58" s="17"/>
      <c r="L58" s="17"/>
      <c r="M58" s="17"/>
      <c r="N58" s="17"/>
      <c r="O58" s="17"/>
      <c r="P58" s="17"/>
      <c r="Q58" s="146"/>
      <c r="R58" s="216"/>
      <c r="S58" s="56"/>
      <c r="U58" s="153"/>
      <c r="V58" s="154"/>
      <c r="W58" s="217"/>
      <c r="X58" s="218">
        <f>+X57*12</f>
        <v>12.324303310000293</v>
      </c>
      <c r="Y58" s="157"/>
      <c r="Z58" s="219">
        <f>+Z57*12</f>
        <v>12.51195830668669</v>
      </c>
      <c r="AA58" s="220" t="s">
        <v>21</v>
      </c>
      <c r="AB58" s="153"/>
      <c r="AC58" s="154"/>
      <c r="AD58" s="217"/>
      <c r="AE58" s="218">
        <f>+AE57*12</f>
        <v>12.527601672907911</v>
      </c>
      <c r="AF58" s="157"/>
      <c r="AG58" s="221">
        <f>+AG57*12</f>
        <v>12.508869464126507</v>
      </c>
      <c r="AH58" s="222" t="s">
        <v>21</v>
      </c>
    </row>
    <row r="59" spans="1:34" s="177" customFormat="1" ht="15.75" hidden="1" customHeight="1" thickBot="1" x14ac:dyDescent="0.3">
      <c r="A59" s="162"/>
      <c r="B59" s="152"/>
      <c r="C59" s="152"/>
      <c r="D59" s="163" t="s">
        <v>5</v>
      </c>
      <c r="E59" s="164"/>
      <c r="F59" s="165"/>
      <c r="G59" s="165"/>
      <c r="H59" s="145">
        <f>SUM(H39:H57)</f>
        <v>6313475</v>
      </c>
      <c r="I59" s="145">
        <f>SUM(I39:I57)</f>
        <v>18590679</v>
      </c>
      <c r="J59" s="166">
        <f>SUM(J39:J57)</f>
        <v>24904154</v>
      </c>
      <c r="K59" s="167"/>
      <c r="L59" s="168">
        <f>SUM(L39:L57)</f>
        <v>6746254</v>
      </c>
      <c r="M59" s="168">
        <f>SUM(M39:M57)</f>
        <v>18590679</v>
      </c>
      <c r="N59" s="165"/>
      <c r="O59" s="168">
        <f>SUM(O39:O57)</f>
        <v>25336933</v>
      </c>
      <c r="P59" s="55"/>
      <c r="Q59" s="146"/>
      <c r="R59" s="216"/>
      <c r="S59" s="56"/>
      <c r="T59" s="20"/>
      <c r="U59" s="170"/>
      <c r="V59" s="171"/>
      <c r="W59" s="170"/>
      <c r="X59" s="170"/>
      <c r="Y59" s="170"/>
      <c r="Z59" s="223">
        <f>+U52-V34</f>
        <v>417</v>
      </c>
      <c r="AA59" s="224" t="s">
        <v>15</v>
      </c>
      <c r="AB59" s="153"/>
      <c r="AC59" s="154"/>
      <c r="AD59" s="174"/>
      <c r="AE59" s="174"/>
      <c r="AF59" s="174"/>
      <c r="AG59" s="225">
        <f>+AB52-AC34</f>
        <v>417</v>
      </c>
      <c r="AH59" s="226" t="s">
        <v>15</v>
      </c>
    </row>
    <row r="60" spans="1:34" ht="15" hidden="1" customHeight="1" x14ac:dyDescent="0.25">
      <c r="A60" s="53"/>
      <c r="B60" s="18"/>
      <c r="C60" s="19"/>
      <c r="D60" s="178"/>
      <c r="E60" s="178"/>
      <c r="F60" s="146"/>
      <c r="G60" s="146"/>
      <c r="H60" s="146"/>
      <c r="I60" s="146"/>
      <c r="J60" s="146"/>
      <c r="K60" s="146"/>
      <c r="L60" s="146"/>
      <c r="M60" s="146"/>
      <c r="N60" s="146"/>
      <c r="O60" s="146"/>
      <c r="P60" s="146"/>
      <c r="Q60" s="146"/>
      <c r="R60" s="216"/>
      <c r="S60" s="56"/>
      <c r="U60" s="1"/>
      <c r="V60" s="1"/>
      <c r="W60" s="1"/>
      <c r="X60" s="2"/>
      <c r="Y60" s="179"/>
      <c r="AA60" s="2"/>
    </row>
    <row r="61" spans="1:34" hidden="1" x14ac:dyDescent="0.25">
      <c r="A61" s="53"/>
      <c r="B61" s="18"/>
      <c r="C61" s="19"/>
      <c r="D61" s="178"/>
      <c r="E61" s="178"/>
      <c r="F61" s="146"/>
      <c r="G61" s="146"/>
      <c r="H61" s="146"/>
      <c r="I61" s="146"/>
      <c r="J61" s="146"/>
      <c r="K61" s="146"/>
      <c r="L61" s="146"/>
      <c r="M61" s="146"/>
      <c r="N61" s="146"/>
      <c r="O61" s="146"/>
      <c r="P61" s="146"/>
      <c r="Q61" s="146"/>
      <c r="R61" s="216"/>
      <c r="S61" s="56"/>
      <c r="U61" s="1"/>
      <c r="V61" s="1"/>
      <c r="W61" s="1"/>
      <c r="X61" s="2"/>
      <c r="Y61" s="179"/>
      <c r="AA61" s="2"/>
    </row>
    <row r="62" spans="1:34" hidden="1" x14ac:dyDescent="0.25">
      <c r="A62" s="53"/>
      <c r="B62" s="18"/>
      <c r="C62" s="19"/>
      <c r="D62" s="178"/>
      <c r="E62" s="178"/>
      <c r="F62" s="146"/>
      <c r="G62" s="146"/>
      <c r="H62" s="146"/>
      <c r="I62" s="146"/>
      <c r="J62" s="146"/>
      <c r="K62" s="146"/>
      <c r="L62" s="146"/>
      <c r="M62" s="146"/>
      <c r="N62" s="146"/>
      <c r="O62" s="146"/>
      <c r="P62" s="146"/>
      <c r="Q62" s="146"/>
      <c r="R62" s="216"/>
      <c r="S62" s="56"/>
      <c r="U62" s="1"/>
      <c r="V62" s="1"/>
      <c r="W62" s="1"/>
      <c r="X62" s="2"/>
      <c r="Y62" s="179"/>
      <c r="AA62" s="2"/>
    </row>
    <row r="63" spans="1:34" x14ac:dyDescent="0.25">
      <c r="A63" s="53"/>
      <c r="B63" s="18"/>
      <c r="C63" s="19"/>
      <c r="D63" s="17"/>
      <c r="E63" s="17"/>
      <c r="F63" s="17"/>
      <c r="G63" s="17"/>
      <c r="H63" s="17"/>
      <c r="I63" s="17"/>
      <c r="J63" s="17"/>
      <c r="K63" s="17"/>
      <c r="L63" s="17"/>
      <c r="M63" s="17"/>
      <c r="N63" s="17"/>
      <c r="O63" s="17"/>
      <c r="P63" s="17"/>
      <c r="Q63" s="17"/>
      <c r="R63" s="79"/>
      <c r="S63" s="56"/>
    </row>
    <row r="64" spans="1:34" x14ac:dyDescent="0.25">
      <c r="B64" s="227"/>
      <c r="C64" s="228"/>
      <c r="D64" s="21"/>
      <c r="E64" s="21"/>
      <c r="F64" s="21"/>
      <c r="G64" s="21"/>
      <c r="H64" s="21"/>
      <c r="I64" s="21"/>
      <c r="J64" s="21"/>
      <c r="K64" s="21"/>
      <c r="L64" s="21"/>
      <c r="M64" s="21"/>
      <c r="N64" s="21"/>
      <c r="O64" s="21"/>
      <c r="P64" s="21"/>
      <c r="Q64" s="21"/>
      <c r="R64" s="21"/>
      <c r="S64" s="20"/>
    </row>
    <row r="65" spans="19:24" x14ac:dyDescent="0.25">
      <c r="S65" s="20"/>
      <c r="W65" s="181"/>
      <c r="X65" s="1"/>
    </row>
    <row r="66" spans="19:24" x14ac:dyDescent="0.25">
      <c r="S66" s="20"/>
    </row>
    <row r="67" spans="19:24" x14ac:dyDescent="0.25">
      <c r="S67" s="20"/>
    </row>
  </sheetData>
  <sheetProtection algorithmName="SHA-512" hashValue="OGc6zyL0oduBtP/qABMcGiDDmgkQTuJw9QrEobz9R/LZkO/rn/g5eQqMxssyAJ+7mZfaPuG2iCUFElM0S2nVwA==" saltValue="zcz7OhLLQcMRvvT2AYdLoA==" spinCount="100000" sheet="1" selectLockedCells="1"/>
  <protectedRanges>
    <protectedRange sqref="D13:D14" name="Rango1"/>
  </protectedRanges>
  <mergeCells count="43">
    <mergeCell ref="K36:K37"/>
    <mergeCell ref="H36:H37"/>
    <mergeCell ref="I36:I37"/>
    <mergeCell ref="K33:P33"/>
    <mergeCell ref="O36:O37"/>
    <mergeCell ref="P36:P37"/>
    <mergeCell ref="F33:J33"/>
    <mergeCell ref="J36:J37"/>
    <mergeCell ref="F36:F37"/>
    <mergeCell ref="N36:N37"/>
    <mergeCell ref="G36:G37"/>
    <mergeCell ref="D36:D37"/>
    <mergeCell ref="B18:C18"/>
    <mergeCell ref="H1:M1"/>
    <mergeCell ref="H2:M2"/>
    <mergeCell ref="H3:M3"/>
    <mergeCell ref="H6:M6"/>
    <mergeCell ref="H7:M7"/>
    <mergeCell ref="H8:H9"/>
    <mergeCell ref="K8:K9"/>
    <mergeCell ref="B21:C21"/>
    <mergeCell ref="B22:C22"/>
    <mergeCell ref="B14:C14"/>
    <mergeCell ref="J8:J9"/>
    <mergeCell ref="B12:C12"/>
    <mergeCell ref="B13:C13"/>
    <mergeCell ref="B15:C15"/>
    <mergeCell ref="AE34:AG34"/>
    <mergeCell ref="B23:C23"/>
    <mergeCell ref="B19:C19"/>
    <mergeCell ref="L8:L9"/>
    <mergeCell ref="I8:I9"/>
    <mergeCell ref="B10:C10"/>
    <mergeCell ref="B11:C11"/>
    <mergeCell ref="P7:R25"/>
    <mergeCell ref="B20:C20"/>
    <mergeCell ref="B7:C7"/>
    <mergeCell ref="X34:Z34"/>
    <mergeCell ref="B16:C16"/>
    <mergeCell ref="B8:C8"/>
    <mergeCell ref="M8:M9"/>
    <mergeCell ref="B9:C9"/>
    <mergeCell ref="B17:C17"/>
  </mergeCells>
  <pageMargins left="0.70866141732283472" right="0.70866141732283472" top="0.74803149606299213" bottom="0.74803149606299213" header="0.31496062992125984" footer="0.31496062992125984"/>
  <pageSetup paperSize="9" scale="76" orientation="landscape" r:id="rId1"/>
  <ignoredErrors>
    <ignoredError sqref="K53"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VDF A</vt:lpstr>
      <vt:lpstr>VDF B</vt:lpstr>
      <vt:lpstr>Hoja1</vt:lpstr>
      <vt:lpstr>'VDF A'!Área_de_impresión</vt:lpstr>
      <vt:lpstr>'VDF B'!Área_de_impresión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degennarog</dc:creator>
  <cp:lastModifiedBy>Juan Novoa</cp:lastModifiedBy>
  <cp:lastPrinted>2015-10-26T19:59:59Z</cp:lastPrinted>
  <dcterms:created xsi:type="dcterms:W3CDTF">2013-03-06T14:41:28Z</dcterms:created>
  <dcterms:modified xsi:type="dcterms:W3CDTF">2020-07-28T14:18:29Z</dcterms:modified>
</cp:coreProperties>
</file>