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MIS\MIS 15\"/>
    </mc:Choice>
  </mc:AlternateContent>
  <workbookProtection workbookAlgorithmName="SHA-512" workbookHashValue="joMtcDbej19Lka/V68JZyQv2Y3Mz+zKjE4AXhHEjpqhCckDCo1Q04HraMyImoNHamut4mGR3zpHnkREt4gx51g==" workbookSaltValue="LOxxoWrdUmOfQlXsvheI3g==" workbookSpinCount="100000" lockStructure="1"/>
  <bookViews>
    <workbookView xWindow="0" yWindow="0" windowWidth="20490" windowHeight="7755" tabRatio="843" firstSheet="3" activeTab="3"/>
  </bookViews>
  <sheets>
    <sheet name="Carga" sheetId="1" state="hidden" r:id="rId1"/>
    <sheet name="Badlar" sheetId="6" state="hidden" r:id="rId2"/>
    <sheet name="Flujos de fondo MIN" sheetId="2" state="hidden" r:id="rId3"/>
    <sheet name="Calculadora VDFA" sheetId="5" r:id="rId4"/>
    <sheet name="Calculadora VDFB" sheetId="4" r:id="rId5"/>
  </sheets>
  <externalReferences>
    <externalReference r:id="rId6"/>
    <externalReference r:id="rId7"/>
  </externalReferences>
  <definedNames>
    <definedName name="a" localSheetId="3">#REF!</definedName>
    <definedName name="a" localSheetId="4">#REF!</definedName>
    <definedName name="a">#REF!</definedName>
    <definedName name="aa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localSheetId="3" hidden="1">{"Estado de Cobranzas pag 1",#N/A,FALSE,"RESUMEN";"Estado de Cobranzas pag 2",#N/A,FALSE,"RESUMEN";"Estado de Cobranzas pag 3",#N/A,FALSE,"RESUMEN"}</definedName>
    <definedName name="aaa" localSheetId="4" hidden="1">{"Estado de Cobranzas pag 1",#N/A,FALSE,"RESUMEN";"Estado de Cobranzas pag 2",#N/A,FALSE,"RESUMEN";"Estado de Cobranzas pag 3",#N/A,FALSE,"RESUMEN"}</definedName>
    <definedName name="aaa" hidden="1">{"Estado de Cobranzas pag 1",#N/A,FALSE,"RESUMEN";"Estado de Cobranzas pag 2",#N/A,FALSE,"RESUMEN";"Estado de Cobranzas pag 3",#N/A,FALSE,"RESUMEN"}</definedName>
    <definedName name="akjd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kjd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localSheetId="3" hidden="1">{"Estado de Cobranzas pag 1",#N/A,FALSE,"RESUMEN";"Estado de Cobranzas pag 2",#N/A,FALSE,"RESUMEN";"Estado de Cobranzas pag 3",#N/A,FALSE,"RESUMEN"}</definedName>
    <definedName name="ala" localSheetId="4" hidden="1">{"Estado de Cobranzas pag 1",#N/A,FALSE,"RESUMEN";"Estado de Cobranzas pag 2",#N/A,FALSE,"RESUMEN";"Estado de Cobranzas pag 3",#N/A,FALSE,"RESUMEN"}</definedName>
    <definedName name="ala" hidden="1">{"Estado de Cobranzas pag 1",#N/A,FALSE,"RESUMEN";"Estado de Cobranzas pag 2",#N/A,FALSE,"RESUMEN";"Estado de Cobranzas pag 3",#N/A,FALSE,"RESUMEN"}</definedName>
    <definedName name="ALL" localSheetId="3">#REF!</definedName>
    <definedName name="ALL" localSheetId="4">#REF!</definedName>
    <definedName name="ALL">#REF!</definedName>
    <definedName name="_xlnm.Print_Area" localSheetId="3">'Calculadora VDFA'!$I$1:$N$54</definedName>
    <definedName name="_xlnm.Print_Area" localSheetId="4">'Calculadora VDFB'!$I$1:$N$54</definedName>
    <definedName name="at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localSheetId="3" hidden="1">{"Estado de Cobranzas pag 1",#N/A,FALSE,"RESUMEN";"Estado de Cobranzas pag 2",#N/A,FALSE,"RESUMEN";"Estado de Cobranzas pag 3",#N/A,FALSE,"RESUMEN"}</definedName>
    <definedName name="awawaee" localSheetId="4" hidden="1">{"Estado de Cobranzas pag 1",#N/A,FALSE,"RESUMEN";"Estado de Cobranzas pag 2",#N/A,FALSE,"RESUMEN";"Estado de Cobranzas pag 3",#N/A,FALSE,"RESUMEN"}</definedName>
    <definedName name="awawaee" hidden="1">{"Estado de Cobranzas pag 1",#N/A,FALSE,"RESUMEN";"Estado de Cobranzas pag 2",#N/A,FALSE,"RESUMEN";"Estado de Cobranzas pag 3",#N/A,FALSE,"RESUMEN"}</definedName>
    <definedName name="awywyw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wywyw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3">#REF!</definedName>
    <definedName name="BANKS" localSheetId="4">#REF!</definedName>
    <definedName name="BANKS">#REF!</definedName>
    <definedName name="_xlnm.Database" localSheetId="3">#REF!</definedName>
    <definedName name="_xlnm.Database" localSheetId="4">#REF!</definedName>
    <definedName name="_xlnm.Database">#REF!</definedName>
    <definedName name="bb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b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localSheetId="3" hidden="1">{"Estado de Cobranzas pag 1",#N/A,FALSE,"RESUMEN";"Estado de Cobranzas pag 2",#N/A,FALSE,"RESUMEN";"Estado de Cobranzas pag 3",#N/A,FALSE,"RESUMEN"}</definedName>
    <definedName name="cc" localSheetId="4" hidden="1">{"Estado de Cobranzas pag 1",#N/A,FALSE,"RESUMEN";"Estado de Cobranzas pag 2",#N/A,FALSE,"RESUMEN";"Estado de Cobranzas pag 3",#N/A,FALSE,"RESUMEN"}</definedName>
    <definedName name="cc" hidden="1">{"Estado de Cobranzas pag 1",#N/A,FALSE,"RESUMEN";"Estado de Cobranzas pag 2",#N/A,FALSE,"RESUMEN";"Estado de Cobranzas pag 3",#N/A,FALSE,"RESUMEN"}</definedName>
    <definedName name="cfccfcfc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fccfcfc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3">#REF!</definedName>
    <definedName name="dd" localSheetId="4">#REF!</definedName>
    <definedName name="dd">#REF!</definedName>
    <definedName name="dd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d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localSheetId="3" hidden="1">{#N/A,#N/A,FALSE,"INDICE";#N/A,#N/A,FALSE,"Anexo I";#N/A,#N/A,FALSE,"Anexo II";#N/A,#N/A,FALSE,"Anexo II descr";#N/A,#N/A,FALSE,"Anexo III";#N/A,#N/A,FALSE,"Anexo III descr"}</definedName>
    <definedName name="drdrdrr" localSheetId="4" hidden="1">{#N/A,#N/A,FALSE,"INDICE";#N/A,#N/A,FALSE,"Anexo I";#N/A,#N/A,FALSE,"Anexo II";#N/A,#N/A,FALSE,"Anexo II descr";#N/A,#N/A,FALSE,"Anexo III";#N/A,#N/A,FALSE,"Anexo III descr"}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localSheetId="3" hidden="1">{#N/A,#N/A,FALSE,"INDICE";#N/A,#N/A,FALSE,"Anexo I";#N/A,#N/A,FALSE,"Anexo II";#N/A,#N/A,FALSE,"Anexo II descr";#N/A,#N/A,FALSE,"Anexo III";#N/A,#N/A,FALSE,"Anexo III descr"}</definedName>
    <definedName name="dsadsad" localSheetId="4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sdsds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localSheetId="3" hidden="1">{#N/A,#N/A,FALSE,"INDICE";#N/A,#N/A,FALSE,"Anexo I";#N/A,#N/A,FALSE,"Anexo II";#N/A,#N/A,FALSE,"Anexo II descr";#N/A,#N/A,FALSE,"Anexo III";#N/A,#N/A,FALSE,"Anexo III descr"}</definedName>
    <definedName name="eeeeeeeeee" localSheetId="4" hidden="1">{#N/A,#N/A,FALSE,"INDICE";#N/A,#N/A,FALSE,"Anexo I";#N/A,#N/A,FALSE,"Anexo II";#N/A,#N/A,FALSE,"Anexo II descr";#N/A,#N/A,FALSE,"Anexo III";#N/A,#N/A,FALSE,"Anexo III descr"}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ewewew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q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localSheetId="3" hidden="1">{"Estado de Cobranzas pag 1",#N/A,FALSE,"RESUMEN";"Estado de Cobranzas pag 2",#N/A,FALSE,"RESUMEN";"Estado de Cobranzas pag 3",#N/A,FALSE,"RESUMEN"}</definedName>
    <definedName name="ewqewq" localSheetId="4" hidden="1">{"Estado de Cobranzas pag 1",#N/A,FALSE,"RESUMEN";"Estado de Cobranzas pag 2",#N/A,FALSE,"RESUMEN";"Estado de Cobranzas pag 3",#N/A,FALSE,"RESUMEN"}</definedName>
    <definedName name="ewqewq" hidden="1">{"Estado de Cobranzas pag 1",#N/A,FALSE,"RESUMEN";"Estado de Cobranzas pag 2",#N/A,FALSE,"RESUMEN";"Estado de Cobranzas pag 3",#N/A,FALSE,"RESUMEN"}</definedName>
    <definedName name="EXHIBIT_1" localSheetId="3">#REF!</definedName>
    <definedName name="EXHIBIT_1" localSheetId="4">#REF!</definedName>
    <definedName name="EXHIBIT_1">#REF!</definedName>
    <definedName name="EXHIBIT_2" localSheetId="3">#REF!</definedName>
    <definedName name="EXHIBIT_2" localSheetId="4">#REF!</definedName>
    <definedName name="EXHIBIT_2">#REF!</definedName>
    <definedName name="fdfdfdf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fdfdf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dsf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localSheetId="3" hidden="1">{"Estado de Cobranzas pag 1",#N/A,FALSE,"RESUMEN";"Estado de Cobranzas pag 2",#N/A,FALSE,"RESUMEN";"Estado de Cobranzas pag 3",#N/A,FALSE,"RESUMEN"}</definedName>
    <definedName name="gabry" localSheetId="4" hidden="1">{"Estado de Cobranzas pag 1",#N/A,FALSE,"RESUMEN";"Estado de Cobranzas pag 2",#N/A,FALSE,"RESUMEN";"Estado de Cobranzas pag 3",#N/A,FALSE,"RESUMEN"}</definedName>
    <definedName name="gabry" hidden="1">{"Estado de Cobranzas pag 1",#N/A,FALSE,"RESUMEN";"Estado de Cobranzas pag 2",#N/A,FALSE,"RESUMEN";"Estado de Cobranzas pag 3",#N/A,FALSE,"RESUMEN"}</definedName>
    <definedName name="GBRTG" localSheetId="3" hidden="1">{"Estado de Cobranzas pag 1",#N/A,FALSE,"RESUMEN";"Estado de Cobranzas pag 2",#N/A,FALSE,"RESUMEN";"Estado de Cobranzas pag 3",#N/A,FALSE,"RESUMEN"}</definedName>
    <definedName name="GBRTG" localSheetId="4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fhy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localSheetId="3" hidden="1">{"Estado de Cobranzas pag 1",#N/A,FALSE,"RESUMEN";"Estado de Cobranzas pag 2",#N/A,FALSE,"RESUMEN";"Estado de Cobranzas pag 3",#N/A,FALSE,"RESUMEN"}</definedName>
    <definedName name="GGGGGGGG" localSheetId="4" hidden="1">{"Estado de Cobranzas pag 1",#N/A,FALSE,"RESUMEN";"Estado de Cobranzas pag 2",#N/A,FALSE,"RESUMEN";"Estado de Cobranzas pag 3",#N/A,FALSE,"RESUMEN"}</definedName>
    <definedName name="GGGGGGGG" hidden="1">{"Estado de Cobranzas pag 1",#N/A,FALSE,"RESUMEN";"Estado de Cobranzas pag 2",#N/A,FALSE,"RESUMEN";"Estado de Cobranzas pag 3",#N/A,FALSE,"RESUMEN"}</definedName>
    <definedName name="ghghfnh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hghfnh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graf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ghghgh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jjkk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localSheetId="3" hidden="1">{"Estado de Cobranzas pag 1",#N/A,FALSE,"RESUMEN";"Estado de Cobranzas pag 2",#N/A,FALSE,"RESUMEN";"Estado de Cobranzas pag 3",#N/A,FALSE,"RESUMEN"}</definedName>
    <definedName name="hyfnhf" localSheetId="4" hidden="1">{"Estado de Cobranzas pag 1",#N/A,FALSE,"RESUMEN";"Estado de Cobranzas pag 2",#N/A,FALSE,"RESUMEN";"Estado de Cobranzas pag 3",#N/A,FALSE,"RESUMEN"}</definedName>
    <definedName name="hyfnhf" hidden="1">{"Estado de Cobranzas pag 1",#N/A,FALSE,"RESUMEN";"Estado de Cobranzas pag 2",#N/A,FALSE,"RESUMEN";"Estado de Cobranzas pag 3",#N/A,FALSE,"RESUMEN"}</definedName>
    <definedName name="hyhh" localSheetId="3" hidden="1">{#N/A,#N/A,FALSE,"INDICE";#N/A,#N/A,FALSE,"Anexo I";#N/A,#N/A,FALSE,"Anexo II";#N/A,#N/A,FALSE,"Anexo II descr";#N/A,#N/A,FALSE,"Anexo III";#N/A,#N/A,FALSE,"Anexo III descr"}</definedName>
    <definedName name="hyhh" localSheetId="4" hidden="1">{#N/A,#N/A,FALSE,"INDICE";#N/A,#N/A,FALSE,"Anexo I";#N/A,#N/A,FALSE,"Anexo II";#N/A,#N/A,FALSE,"Anexo II descr";#N/A,#N/A,FALSE,"Anexo III";#N/A,#N/A,FALSE,"Anexo III descr"}</definedName>
    <definedName name="hyhh" hidden="1">{#N/A,#N/A,FALSE,"INDICE";#N/A,#N/A,FALSE,"Anexo I";#N/A,#N/A,FALSE,"Anexo II";#N/A,#N/A,FALSE,"Anexo II descr";#N/A,#N/A,FALSE,"Anexo III";#N/A,#N/A,FALSE,"Anexo III descr"}</definedName>
    <definedName name="hyrhy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rhy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iiiuui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localSheetId="3" hidden="1">{#N/A,#N/A,FALSE,"INDICE";#N/A,#N/A,FALSE,"Anexo I";#N/A,#N/A,FALSE,"Anexo II";#N/A,#N/A,FALSE,"Anexo II descr";#N/A,#N/A,FALSE,"Anexo III";#N/A,#N/A,FALSE,"Anexo III descr"}</definedName>
    <definedName name="in" localSheetId="4" hidden="1">{#N/A,#N/A,FALSE,"INDICE";#N/A,#N/A,FALSE,"Anexo I";#N/A,#N/A,FALSE,"Anexo II";#N/A,#N/A,FALSE,"Anexo II descr";#N/A,#N/A,FALSE,"Anexo III";#N/A,#N/A,FALSE,"Anexo III descr"}</definedName>
    <definedName name="in" hidden="1">{#N/A,#N/A,FALSE,"INDICE";#N/A,#N/A,FALSE,"Anexo I";#N/A,#N/A,FALSE,"Anexo II";#N/A,#N/A,FALSE,"Anexo II descr";#N/A,#N/A,FALSE,"Anexo III";#N/A,#N/A,FALSE,"Anexo III descr"}</definedName>
    <definedName name="j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localSheetId="3" hidden="1">{"Estado de Cobranzas pag 1",#N/A,FALSE,"RESUMEN";"Estado de Cobranzas pag 2",#N/A,FALSE,"RESUMEN";"Estado de Cobranzas pag 3",#N/A,FALSE,"RESUMEN"}</definedName>
    <definedName name="jhgjhg" localSheetId="4" hidden="1">{"Estado de Cobranzas pag 1",#N/A,FALSE,"RESUMEN";"Estado de Cobranzas pag 2",#N/A,FALSE,"RESUMEN";"Estado de Cobranzas pag 3",#N/A,FALSE,"RESUMEN"}</definedName>
    <definedName name="jhgjhg" hidden="1">{"Estado de Cobranzas pag 1",#N/A,FALSE,"RESUMEN";"Estado de Cobranzas pag 2",#N/A,FALSE,"RESUMEN";"Estado de Cobranzas pag 3",#N/A,FALSE,"RESUMEN"}</definedName>
    <definedName name="jhjh" localSheetId="3" hidden="1">{#N/A,#N/A,FALSE,"INDICE";#N/A,#N/A,FALSE,"Anexo I";#N/A,#N/A,FALSE,"Anexo II";#N/A,#N/A,FALSE,"Anexo II descr";#N/A,#N/A,FALSE,"Anexo III";#N/A,#N/A,FALSE,"Anexo III descr"}</definedName>
    <definedName name="jhjh" localSheetId="4" hidden="1">{#N/A,#N/A,FALSE,"INDICE";#N/A,#N/A,FALSE,"Anexo I";#N/A,#N/A,FALSE,"Anexo II";#N/A,#N/A,FALSE,"Anexo II descr";#N/A,#N/A,FALSE,"Anexo III";#N/A,#N/A,FALSE,"Anexo III descr"}</definedName>
    <definedName name="jhjh" hidden="1">{#N/A,#N/A,FALSE,"INDICE";#N/A,#N/A,FALSE,"Anexo I";#N/A,#N/A,FALSE,"Anexo II";#N/A,#N/A,FALSE,"Anexo II descr";#N/A,#N/A,FALSE,"Anexo III";#N/A,#N/A,FALSE,"Anexo III descr"}</definedName>
    <definedName name="jjj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jjj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jjjj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localSheetId="3" hidden="1">{"Estado de Cobranzas pag 1",#N/A,FALSE,"RESUMEN";"Estado de Cobranzas pag 2",#N/A,FALSE,"RESUMEN";"Estado de Cobranzas pag 3",#N/A,FALSE,"RESUMEN"}</definedName>
    <definedName name="kjkjkjkjkjkj" localSheetId="4" hidden="1">{"Estado de Cobranzas pag 1",#N/A,FALSE,"RESUMEN";"Estado de Cobranzas pag 2",#N/A,FALSE,"RESUMEN";"Estado de Cobranzas pag 3",#N/A,FALSE,"RESUMEN"}</definedName>
    <definedName name="kjkjkjkjkjkj" hidden="1">{"Estado de Cobranzas pag 1",#N/A,FALSE,"RESUMEN";"Estado de Cobranzas pag 2",#N/A,FALSE,"RESUMEN";"Estado de Cobranzas pag 3",#N/A,FALSE,"RESUMEN"}</definedName>
    <definedName name="kkiii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kiii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localSheetId="3" hidden="1">{#N/A,#N/A,FALSE,"INDICE";#N/A,#N/A,FALSE,"Anexo I";#N/A,#N/A,FALSE,"Anexo II";#N/A,#N/A,FALSE,"Anexo II descr";#N/A,#N/A,FALSE,"Anexo III";#N/A,#N/A,FALSE,"Anexo III descr"}</definedName>
    <definedName name="lklklk" localSheetId="4" hidden="1">{#N/A,#N/A,FALSE,"INDICE";#N/A,#N/A,FALSE,"Anexo I";#N/A,#N/A,FALSE,"Anexo II";#N/A,#N/A,FALSE,"Anexo II descr";#N/A,#N/A,FALSE,"Anexo III";#N/A,#N/A,FALSE,"Anexo III descr"}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localSheetId="3" hidden="1">{"Estado de Cobranzas pag 1",#N/A,FALSE,"RESUMEN";"Estado de Cobranzas pag 2",#N/A,FALSE,"RESUMEN";"Estado de Cobranzas pag 3",#N/A,FALSE,"RESUMEN"}</definedName>
    <definedName name="lklklklkl" localSheetId="4" hidden="1">{"Estado de Cobranzas pag 1",#N/A,FALSE,"RESUMEN";"Estado de Cobranzas pag 2",#N/A,FALSE,"RESUMEN";"Estado de Cobranzas pag 3",#N/A,FALSE,"RESUMEN"}</definedName>
    <definedName name="lklklklkl" hidden="1">{"Estado de Cobranzas pag 1",#N/A,FALSE,"RESUMEN";"Estado de Cobranzas pag 2",#N/A,FALSE,"RESUMEN";"Estado de Cobranzas pag 3",#N/A,FALSE,"RESUMEN"}</definedName>
    <definedName name="lklklklklkl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klklklklkl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l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arcelo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mm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localSheetId="3" hidden="1">{#N/A,#N/A,FALSE,"INDICE";#N/A,#N/A,FALSE,"Anexo I";#N/A,#N/A,FALSE,"Anexo II";#N/A,#N/A,FALSE,"Anexo II descr";#N/A,#N/A,FALSE,"Anexo III";#N/A,#N/A,FALSE,"Anexo III descr"}</definedName>
    <definedName name="ndnia" localSheetId="4" hidden="1">{#N/A,#N/A,FALSE,"INDICE";#N/A,#N/A,FALSE,"Anexo I";#N/A,#N/A,FALSE,"Anexo II";#N/A,#N/A,FALSE,"Anexo II descr";#N/A,#N/A,FALSE,"Anexo III";#N/A,#N/A,FALSE,"Anexo III descr"}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nyrtnyrtyt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localSheetId="3" hidden="1">{"Estado de Cobranzas pag 1",#N/A,FALSE,"RESUMEN";"Estado de Cobranzas pag 2",#N/A,FALSE,"RESUMEN";"Estado de Cobranzas pag 3",#N/A,FALSE,"RESUMEN"}</definedName>
    <definedName name="qqqqqqqqq" localSheetId="4" hidden="1">{"Estado de Cobranzas pag 1",#N/A,FALSE,"RESUMEN";"Estado de Cobranzas pag 2",#N/A,FALSE,"RESUMEN";"Estado de Cobranzas pag 3",#N/A,FALSE,"RESUMEN"}</definedName>
    <definedName name="qqqqqqqqq" hidden="1">{"Estado de Cobranzas pag 1",#N/A,FALSE,"RESUMEN";"Estado de Cobranzas pag 2",#N/A,FALSE,"RESUMEN";"Estado de Cobranzas pag 3",#N/A,FALSE,"RESUMEN"}</definedName>
    <definedName name="qqqqqqqqqqqqqqq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qqqqqqqqqqqqqqq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e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sasasas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eses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3">#REF!</definedName>
    <definedName name="sum" localSheetId="4">#REF!</definedName>
    <definedName name="sum">#REF!</definedName>
    <definedName name="szszsz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szszsz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localSheetId="3" hidden="1">{"Estado de Cobranzas pag 1",#N/A,FALSE,"RESUMEN";"Estado de Cobranzas pag 2",#N/A,FALSE,"RESUMEN";"Estado de Cobranzas pag 3",#N/A,FALSE,"RESUMEN"}</definedName>
    <definedName name="ta" localSheetId="4" hidden="1">{"Estado de Cobranzas pag 1",#N/A,FALSE,"RESUMEN";"Estado de Cobranzas pag 2",#N/A,FALSE,"RESUMEN";"Estado de Cobranzas pag 3",#N/A,FALSE,"RESUMEN"}</definedName>
    <definedName name="ta" hidden="1">{"Estado de Cobranzas pag 1",#N/A,FALSE,"RESUMEN";"Estado de Cobranzas pag 2",#N/A,FALSE,"RESUMEN";"Estado de Cobranzas pag 3",#N/A,FALSE,"RESUMEN"}</definedName>
    <definedName name="TABLE_A" localSheetId="3">#REF!</definedName>
    <definedName name="TABLE_A" localSheetId="4">#REF!</definedName>
    <definedName name="TABLE_A">#REF!</definedName>
    <definedName name="TABLE_B" localSheetId="3">#REF!</definedName>
    <definedName name="TABLE_B" localSheetId="4">#REF!</definedName>
    <definedName name="TABLE_B">#REF!</definedName>
    <definedName name="TABLE_C" localSheetId="3">#REF!</definedName>
    <definedName name="TABLE_C" localSheetId="4">#REF!</definedName>
    <definedName name="TABLE_C">#REF!</definedName>
    <definedName name="TAXES">#N/A</definedName>
    <definedName name="teterhtr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eterhtr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jutmh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localSheetId="3" hidden="1">{#N/A,#N/A,FALSE,"INDICE";#N/A,#N/A,FALSE,"Anexo I";#N/A,#N/A,FALSE,"Anexo II";#N/A,#N/A,FALSE,"Anexo II descr";#N/A,#N/A,FALSE,"Anexo III";#N/A,#N/A,FALSE,"Anexo III descr"}</definedName>
    <definedName name="tt" localSheetId="4" hidden="1">{#N/A,#N/A,FALSE,"INDICE";#N/A,#N/A,FALSE,"Anexo I";#N/A,#N/A,FALSE,"Anexo II";#N/A,#N/A,FALSE,"Anexo II descr";#N/A,#N/A,FALSE,"Anexo III";#N/A,#N/A,FALSE,"Anexo III descr"}</definedName>
    <definedName name="tt" hidden="1">{#N/A,#N/A,FALSE,"INDICE";#N/A,#N/A,FALSE,"Anexo I";#N/A,#N/A,FALSE,"Anexo II";#N/A,#N/A,FALSE,"Anexo II descr";#N/A,#N/A,FALSE,"Anexo III";#N/A,#N/A,FALSE,"Anexo III descr"}</definedName>
    <definedName name="ttthh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hh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localSheetId="3" hidden="1">{"Estado de Cobranzas pag 1",#N/A,FALSE,"RESUMEN";"Estado de Cobranzas pag 2",#N/A,FALSE,"RESUMEN";"Estado de Cobranzas pag 3",#N/A,FALSE,"RESUMEN"}</definedName>
    <definedName name="tttt" localSheetId="4" hidden="1">{"Estado de Cobranzas pag 1",#N/A,FALSE,"RESUMEN";"Estado de Cobranzas pag 2",#N/A,FALSE,"RESUMEN";"Estado de Cobranzas pag 3",#N/A,FALSE,"RESUMEN"}</definedName>
    <definedName name="tttt" hidden="1">{"Estado de Cobranzas pag 1",#N/A,FALSE,"RESUMEN";"Estado de Cobranzas pag 2",#N/A,FALSE,"RESUMEN";"Estado de Cobranzas pag 3",#N/A,FALSE,"RESUMEN"}</definedName>
    <definedName name="u" localSheetId="3" hidden="1">{"Estado de Cobranzas pag 1",#N/A,FALSE,"RESUMEN";"Estado de Cobranzas pag 2",#N/A,FALSE,"RESUMEN";"Estado de Cobranzas pag 3",#N/A,FALSE,"RESUMEN"}</definedName>
    <definedName name="u" localSheetId="4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u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vgvgvgcg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3">#REF!</definedName>
    <definedName name="VIEW_1" localSheetId="4">#REF!</definedName>
    <definedName name="VIEW_1">#REF!</definedName>
    <definedName name="VIEW_2" localSheetId="3">#REF!</definedName>
    <definedName name="VIEW_2" localSheetId="4">#REF!</definedName>
    <definedName name="VIEW_2">#REF!</definedName>
    <definedName name="VIEW_3" localSheetId="3">#REF!</definedName>
    <definedName name="VIEW_3" localSheetId="4">#REF!</definedName>
    <definedName name="VIEW_3">#REF!</definedName>
    <definedName name="VIEW_4" localSheetId="3">#REF!</definedName>
    <definedName name="VIEW_4" localSheetId="4">#REF!</definedName>
    <definedName name="VIEW_4">#REF!</definedName>
    <definedName name="vnvnbv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nvnbv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vvbvb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localSheetId="3" hidden="1">{"Estado de Cobranzas pag 1",#N/A,FALSE,"RESUMEN";"Estado de Cobranzas pag 2",#N/A,FALSE,"RESUMEN";"Estado de Cobranzas pag 3",#N/A,FALSE,"RESUMEN"}</definedName>
    <definedName name="wqewq" localSheetId="4" hidden="1">{"Estado de Cobranzas pag 1",#N/A,FALSE,"RESUMEN";"Estado de Cobranzas pag 2",#N/A,FALSE,"RESUMEN";"Estado de Cobranzas pag 3",#N/A,FALSE,"RESUMEN"}</definedName>
    <definedName name="wqewq" hidden="1">{"Estado de Cobranzas pag 1",#N/A,FALSE,"RESUMEN";"Estado de Cobranzas pag 2",#N/A,FALSE,"RESUMEN";"Estado de Cobranzas pag 3",#N/A,FALSE,"RESUMEN"}</definedName>
    <definedName name="wqwq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qwqwqwq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localSheetId="3" hidden="1">{"prom_mutu",#N/A,FALSE,"graf_prom_coloc";"prom_colu",#N/A,FALSE,"graf_prom_coloc"}</definedName>
    <definedName name="wrn.AQC._.Mensual." localSheetId="4" hidden="1">{"prom_mutu",#N/A,FALSE,"graf_prom_coloc";"prom_colu",#N/A,FALSE,"graf_prom_coloc"}</definedName>
    <definedName name="wrn.AQC._.Mensual." hidden="1">{"prom_mutu",#N/A,FALSE,"graf_prom_coloc";"prom_colu",#N/A,FALSE,"graf_prom_coloc"}</definedName>
    <definedName name="wrn.ESTRATIFICACIONES.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ESTRATIFICACIONES.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wrn.Gráficos.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localSheetId="3" hidden="1">{#N/A,#N/A,FALSE,"INDICE";#N/A,#N/A,FALSE,"Anexo I";#N/A,#N/A,FALSE,"Anexo II";#N/A,#N/A,FALSE,"Anexo II descr";#N/A,#N/A,FALSE,"Anexo III";#N/A,#N/A,FALSE,"Anexo III descr"}</definedName>
    <definedName name="wrn.Indices._.y._.Separadores." localSheetId="4" hidden="1">{#N/A,#N/A,FALSE,"INDICE";#N/A,#N/A,FALSE,"Anexo I";#N/A,#N/A,FALSE,"Anexo II";#N/A,#N/A,FALSE,"Anexo II descr";#N/A,#N/A,FALSE,"Anexo III";#N/A,#N/A,FALSE,"Anexo III descr"}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localSheetId="3" hidden="1">{"Estado de Cobranzas pag 1",#N/A,FALSE,"RESUMEN";"Estado de Cobranzas pag 2",#N/A,FALSE,"RESUMEN";"Estado de Cobranzas pag 3",#N/A,FALSE,"RESUMEN"}</definedName>
    <definedName name="wrn.Informe._.Tablasy._.y._.Cuadros." localSheetId="4" hidden="1">{"Estado de Cobranzas pag 1",#N/A,FALSE,"RESUMEN";"Estado de Cobranzas pag 2",#N/A,FALSE,"RESUMEN";"Estado de Cobranzas pag 3",#N/A,FALSE,"RESUMEN"}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rn.reporte.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wwwwww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localSheetId="3" hidden="1">{"prom_mutu",#N/A,FALSE,"graf_prom_coloc";"prom_colu",#N/A,FALSE,"graf_prom_coloc"}</definedName>
    <definedName name="xdxdxdxd" localSheetId="4" hidden="1">{"prom_mutu",#N/A,FALSE,"graf_prom_coloc";"prom_colu",#N/A,FALSE,"graf_prom_coloc"}</definedName>
    <definedName name="xdxdxdxd" hidden="1">{"prom_mutu",#N/A,FALSE,"graf_prom_coloc";"prom_colu",#N/A,FALSE,"graf_prom_coloc"}</definedName>
    <definedName name="xzxzxz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xzxzxzx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localSheetId="3" hidden="1">{"prom_mutu",#N/A,FALSE,"graf_prom_coloc";"prom_colu",#N/A,FALSE,"graf_prom_coloc"}</definedName>
    <definedName name="yryr" localSheetId="4" hidden="1">{"prom_mutu",#N/A,FALSE,"graf_prom_coloc";"prom_colu",#N/A,FALSE,"graf_prom_coloc"}</definedName>
    <definedName name="yryr" hidden="1">{"prom_mutu",#N/A,FALSE,"graf_prom_coloc";"prom_colu",#N/A,FALSE,"graf_prom_coloc"}</definedName>
    <definedName name="yryryrut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yrut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localSheetId="3" hidden="1">{#N/A,#N/A,FALSE,"INDICE";#N/A,#N/A,FALSE,"Anexo I";#N/A,#N/A,FALSE,"Anexo II";#N/A,#N/A,FALSE,"Anexo II descr";#N/A,#N/A,FALSE,"Anexo III";#N/A,#N/A,FALSE,"Anexo III descr"}</definedName>
    <definedName name="ytnyt" localSheetId="4" hidden="1">{#N/A,#N/A,FALSE,"INDICE";#N/A,#N/A,FALSE,"Anexo I";#N/A,#N/A,FALSE,"Anexo II";#N/A,#N/A,FALSE,"Anexo II descr";#N/A,#N/A,FALSE,"Anexo III";#N/A,#N/A,FALSE,"Anexo III descr"}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ryr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rytr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ryr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rty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ytytytyt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localSheetId="3" hidden="1">{"Estado de Cobranzas pag 1",#N/A,FALSE,"RESUMEN";"Estado de Cobranzas pag 2",#N/A,FALSE,"RESUMEN";"Estado de Cobranzas pag 3",#N/A,FALSE,"RESUMEN"}</definedName>
    <definedName name="yyyyyy" localSheetId="4" hidden="1">{"Estado de Cobranzas pag 1",#N/A,FALSE,"RESUMEN";"Estado de Cobranzas pag 2",#N/A,FALSE,"RESUMEN";"Estado de Cobranzas pag 3",#N/A,FALSE,"RESUMEN"}</definedName>
    <definedName name="yyyyyy" hidden="1">{"Estado de Cobranzas pag 1",#N/A,FALSE,"RESUMEN";"Estado de Cobranzas pag 2",#N/A,FALSE,"RESUMEN";"Estado de Cobranzas pag 3",#N/A,FALSE,"RESUMEN"}</definedName>
    <definedName name="yyyyyyy" localSheetId="3" hidden="1">{"Estado de Cobranzas pag 1",#N/A,FALSE,"RESUMEN";"Estado de Cobranzas pag 2",#N/A,FALSE,"RESUMEN";"Estado de Cobranzas pag 3",#N/A,FALSE,"RESUMEN"}</definedName>
    <definedName name="yyyyyyy" localSheetId="4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62913"/>
</workbook>
</file>

<file path=xl/calcChain.xml><?xml version="1.0" encoding="utf-8"?>
<calcChain xmlns="http://schemas.openxmlformats.org/spreadsheetml/2006/main">
  <c r="M8" i="5" l="1"/>
  <c r="AA18" i="4" l="1"/>
  <c r="AA30" i="5"/>
  <c r="AA29" i="5"/>
  <c r="Y31" i="5"/>
  <c r="Z20" i="4"/>
  <c r="Y20" i="4"/>
  <c r="L4" i="4" l="1"/>
  <c r="L4" i="5"/>
  <c r="M6" i="4" l="1"/>
  <c r="AA19" i="4"/>
  <c r="AA20" i="4" s="1"/>
  <c r="AA23" i="5"/>
  <c r="L5" i="1" l="1"/>
  <c r="AA28" i="5" l="1"/>
  <c r="AA27" i="5"/>
  <c r="AA26" i="5"/>
  <c r="AA25" i="5"/>
  <c r="AA24" i="5"/>
  <c r="AA22" i="5"/>
  <c r="AA21" i="5"/>
  <c r="AA20" i="5"/>
  <c r="AA19" i="5"/>
  <c r="AA18" i="5"/>
  <c r="B33" i="6" l="1"/>
  <c r="L6" i="1" l="1"/>
  <c r="L63" i="1"/>
  <c r="I5" i="1" l="1"/>
  <c r="I6" i="1"/>
  <c r="I7" i="1"/>
  <c r="I8" i="1"/>
  <c r="I9" i="1"/>
  <c r="I10" i="1"/>
  <c r="I11" i="1"/>
  <c r="I12" i="1"/>
  <c r="I13" i="1"/>
  <c r="I14" i="1"/>
  <c r="I15" i="1"/>
  <c r="I16" i="1"/>
  <c r="B29" i="5" s="1"/>
  <c r="I17" i="1"/>
  <c r="B30" i="5" s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L62" i="1" l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 l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D18" i="4" l="1"/>
  <c r="D18" i="5"/>
  <c r="E65" i="2" l="1"/>
  <c r="B65" i="2"/>
  <c r="BW65" i="2" s="1"/>
  <c r="E64" i="2"/>
  <c r="B64" i="2"/>
  <c r="BW64" i="2" s="1"/>
  <c r="E63" i="2"/>
  <c r="B63" i="2"/>
  <c r="BW63" i="2" s="1"/>
  <c r="E62" i="2"/>
  <c r="B62" i="2"/>
  <c r="BW62" i="2" s="1"/>
  <c r="E61" i="2"/>
  <c r="B61" i="2"/>
  <c r="E60" i="2"/>
  <c r="B60" i="2"/>
  <c r="BW60" i="2" s="1"/>
  <c r="E59" i="2"/>
  <c r="B59" i="2"/>
  <c r="BW59" i="2" s="1"/>
  <c r="E58" i="2"/>
  <c r="B58" i="2"/>
  <c r="BW58" i="2" s="1"/>
  <c r="E57" i="2"/>
  <c r="B57" i="2"/>
  <c r="E56" i="2"/>
  <c r="B56" i="2"/>
  <c r="BW56" i="2" s="1"/>
  <c r="E55" i="2"/>
  <c r="B55" i="2"/>
  <c r="BW55" i="2" s="1"/>
  <c r="E54" i="2"/>
  <c r="B54" i="2"/>
  <c r="BW54" i="2" s="1"/>
  <c r="E53" i="2"/>
  <c r="B53" i="2"/>
  <c r="BW53" i="2" s="1"/>
  <c r="E52" i="2"/>
  <c r="B52" i="2"/>
  <c r="BW52" i="2" s="1"/>
  <c r="E51" i="2"/>
  <c r="B51" i="2"/>
  <c r="BW51" i="2" s="1"/>
  <c r="E50" i="2"/>
  <c r="B50" i="2"/>
  <c r="BW50" i="2" s="1"/>
  <c r="E49" i="2"/>
  <c r="B49" i="2"/>
  <c r="BW49" i="2" s="1"/>
  <c r="E48" i="2"/>
  <c r="B48" i="2"/>
  <c r="BW48" i="2" s="1"/>
  <c r="E47" i="2"/>
  <c r="B47" i="2"/>
  <c r="E46" i="2"/>
  <c r="B46" i="2"/>
  <c r="BW46" i="2" s="1"/>
  <c r="E45" i="2"/>
  <c r="B45" i="2"/>
  <c r="BW45" i="2" s="1"/>
  <c r="BI57" i="2" l="1"/>
  <c r="BI55" i="2"/>
  <c r="BW57" i="2"/>
  <c r="BI65" i="2"/>
  <c r="BI64" i="2"/>
  <c r="BI63" i="2"/>
  <c r="BI62" i="2"/>
  <c r="BW61" i="2"/>
  <c r="BI61" i="2"/>
  <c r="BI60" i="2"/>
  <c r="BI59" i="2"/>
  <c r="BI58" i="2"/>
  <c r="BI56" i="2"/>
  <c r="BI54" i="2"/>
  <c r="BI53" i="2"/>
  <c r="BI52" i="2"/>
  <c r="BI51" i="2"/>
  <c r="BI50" i="2"/>
  <c r="BI49" i="2"/>
  <c r="BW47" i="2"/>
  <c r="BI48" i="2"/>
  <c r="BI47" i="2"/>
  <c r="BI46" i="2"/>
  <c r="B17" i="4"/>
  <c r="C18" i="5"/>
  <c r="B17" i="5"/>
  <c r="C45" i="2" l="1"/>
  <c r="G45" i="2" l="1"/>
  <c r="O45" i="2"/>
  <c r="W45" i="2"/>
  <c r="C46" i="2"/>
  <c r="AA31" i="5"/>
  <c r="Z31" i="5"/>
  <c r="C47" i="2" l="1"/>
  <c r="W46" i="2"/>
  <c r="G46" i="2"/>
  <c r="O46" i="2"/>
  <c r="J9" i="5"/>
  <c r="J8" i="5"/>
  <c r="J7" i="5"/>
  <c r="J6" i="5"/>
  <c r="G5" i="5"/>
  <c r="G10" i="5"/>
  <c r="N17" i="5" l="1"/>
  <c r="AB17" i="5"/>
  <c r="O47" i="2"/>
  <c r="G47" i="2"/>
  <c r="W47" i="2"/>
  <c r="C48" i="2"/>
  <c r="J6" i="4"/>
  <c r="AB18" i="5" l="1"/>
  <c r="W48" i="2"/>
  <c r="O48" i="2"/>
  <c r="G48" i="2"/>
  <c r="C49" i="2"/>
  <c r="AB19" i="5"/>
  <c r="AB20" i="5" s="1"/>
  <c r="AB21" i="5" s="1"/>
  <c r="AB22" i="5" s="1"/>
  <c r="AB23" i="5" s="1"/>
  <c r="AB24" i="5" s="1"/>
  <c r="AB25" i="5" s="1"/>
  <c r="AB26" i="5" s="1"/>
  <c r="AB27" i="5" s="1"/>
  <c r="AB28" i="5" s="1"/>
  <c r="AB29" i="5" s="1"/>
  <c r="AB30" i="5" s="1"/>
  <c r="B19" i="5"/>
  <c r="B21" i="5"/>
  <c r="B23" i="5"/>
  <c r="B25" i="5"/>
  <c r="B27" i="5"/>
  <c r="B31" i="5"/>
  <c r="B33" i="5"/>
  <c r="B35" i="5"/>
  <c r="B37" i="5"/>
  <c r="B39" i="5"/>
  <c r="B41" i="5"/>
  <c r="B43" i="5"/>
  <c r="B45" i="5"/>
  <c r="B47" i="5"/>
  <c r="B49" i="5"/>
  <c r="B51" i="5"/>
  <c r="B53" i="5"/>
  <c r="B18" i="5"/>
  <c r="B20" i="5"/>
  <c r="B22" i="5"/>
  <c r="B24" i="5"/>
  <c r="B26" i="5"/>
  <c r="B28" i="5"/>
  <c r="B32" i="5"/>
  <c r="B34" i="5"/>
  <c r="B36" i="5"/>
  <c r="B38" i="5"/>
  <c r="B40" i="5"/>
  <c r="B42" i="5"/>
  <c r="B44" i="5"/>
  <c r="B46" i="5"/>
  <c r="B48" i="5"/>
  <c r="B50" i="5"/>
  <c r="B52" i="5"/>
  <c r="J9" i="4"/>
  <c r="J8" i="4"/>
  <c r="J7" i="4"/>
  <c r="G5" i="4"/>
  <c r="N17" i="4" l="1"/>
  <c r="AB17" i="4"/>
  <c r="AB18" i="4" s="1"/>
  <c r="AB19" i="4" s="1"/>
  <c r="O49" i="2"/>
  <c r="W49" i="2"/>
  <c r="G49" i="2"/>
  <c r="C50" i="2"/>
  <c r="M8" i="4"/>
  <c r="C8" i="2"/>
  <c r="W8" i="2" s="1"/>
  <c r="B41" i="2"/>
  <c r="E41" i="2"/>
  <c r="B42" i="2"/>
  <c r="E42" i="2"/>
  <c r="B43" i="2"/>
  <c r="E43" i="2"/>
  <c r="B44" i="2"/>
  <c r="BI45" i="2" s="1"/>
  <c r="E44" i="2"/>
  <c r="C41" i="2"/>
  <c r="C42" i="2"/>
  <c r="W42" i="2" s="1"/>
  <c r="C43" i="2"/>
  <c r="C44" i="2"/>
  <c r="C51" i="2" l="1"/>
  <c r="W50" i="2"/>
  <c r="O50" i="2"/>
  <c r="G50" i="2"/>
  <c r="BW43" i="2"/>
  <c r="BI44" i="2"/>
  <c r="BW41" i="2"/>
  <c r="BI42" i="2"/>
  <c r="BW44" i="2"/>
  <c r="BW42" i="2"/>
  <c r="BI43" i="2"/>
  <c r="G43" i="2"/>
  <c r="W43" i="2"/>
  <c r="O44" i="2"/>
  <c r="W44" i="2"/>
  <c r="G41" i="2"/>
  <c r="W41" i="2"/>
  <c r="O41" i="2"/>
  <c r="O43" i="2"/>
  <c r="G42" i="2"/>
  <c r="G44" i="2"/>
  <c r="O42" i="2"/>
  <c r="G51" i="2" l="1"/>
  <c r="W51" i="2"/>
  <c r="O51" i="2"/>
  <c r="C52" i="2"/>
  <c r="C18" i="4"/>
  <c r="C53" i="2" l="1"/>
  <c r="W52" i="2"/>
  <c r="G52" i="2"/>
  <c r="O52" i="2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G10" i="4"/>
  <c r="G53" i="2" l="1"/>
  <c r="O53" i="2"/>
  <c r="W53" i="2"/>
  <c r="C54" i="2"/>
  <c r="C6" i="2"/>
  <c r="G6" i="2" s="1"/>
  <c r="C55" i="2" l="1"/>
  <c r="W54" i="2"/>
  <c r="G54" i="2"/>
  <c r="O54" i="2"/>
  <c r="C5" i="2"/>
  <c r="G5" i="2" s="1"/>
  <c r="W6" i="2"/>
  <c r="O6" i="2"/>
  <c r="C16" i="2"/>
  <c r="C20" i="2"/>
  <c r="C24" i="2"/>
  <c r="C28" i="2"/>
  <c r="C32" i="2"/>
  <c r="E40" i="2"/>
  <c r="C40" i="2"/>
  <c r="E39" i="2"/>
  <c r="A52" i="5" s="1"/>
  <c r="C39" i="2"/>
  <c r="E38" i="2"/>
  <c r="A51" i="5" s="1"/>
  <c r="C38" i="2"/>
  <c r="E37" i="2"/>
  <c r="A50" i="5" s="1"/>
  <c r="C37" i="2"/>
  <c r="E36" i="2"/>
  <c r="A49" i="5" s="1"/>
  <c r="C36" i="2"/>
  <c r="E35" i="2"/>
  <c r="A48" i="5" s="1"/>
  <c r="C35" i="2"/>
  <c r="E34" i="2"/>
  <c r="A47" i="5" s="1"/>
  <c r="C34" i="2"/>
  <c r="E33" i="2"/>
  <c r="A46" i="5" s="1"/>
  <c r="E32" i="2"/>
  <c r="A45" i="5" s="1"/>
  <c r="E31" i="2"/>
  <c r="A44" i="5" s="1"/>
  <c r="E30" i="2"/>
  <c r="A43" i="5" s="1"/>
  <c r="E29" i="2"/>
  <c r="A42" i="5" s="1"/>
  <c r="E28" i="2"/>
  <c r="A41" i="5" s="1"/>
  <c r="E27" i="2"/>
  <c r="A40" i="5" s="1"/>
  <c r="E26" i="2"/>
  <c r="A39" i="5" s="1"/>
  <c r="E25" i="2"/>
  <c r="A38" i="5" s="1"/>
  <c r="E24" i="2"/>
  <c r="A37" i="5" s="1"/>
  <c r="E23" i="2"/>
  <c r="A36" i="5" s="1"/>
  <c r="E22" i="2"/>
  <c r="A35" i="5" s="1"/>
  <c r="E21" i="2"/>
  <c r="A34" i="5" s="1"/>
  <c r="E20" i="2"/>
  <c r="A33" i="5" s="1"/>
  <c r="B20" i="2"/>
  <c r="E19" i="2"/>
  <c r="A32" i="5" s="1"/>
  <c r="B19" i="2"/>
  <c r="I32" i="5" s="1"/>
  <c r="E18" i="2"/>
  <c r="A31" i="5" s="1"/>
  <c r="B18" i="2"/>
  <c r="I31" i="5" s="1"/>
  <c r="E17" i="2"/>
  <c r="A30" i="5" s="1"/>
  <c r="B17" i="2"/>
  <c r="I30" i="5" s="1"/>
  <c r="E16" i="2"/>
  <c r="A29" i="5" s="1"/>
  <c r="B16" i="2"/>
  <c r="I29" i="5" s="1"/>
  <c r="E15" i="2"/>
  <c r="A28" i="5" s="1"/>
  <c r="B15" i="2"/>
  <c r="I28" i="5" s="1"/>
  <c r="E14" i="2"/>
  <c r="A27" i="5" s="1"/>
  <c r="B14" i="2"/>
  <c r="I27" i="5" s="1"/>
  <c r="B13" i="2"/>
  <c r="I26" i="5" s="1"/>
  <c r="C12" i="2"/>
  <c r="B12" i="2"/>
  <c r="I25" i="5" s="1"/>
  <c r="E11" i="2"/>
  <c r="A24" i="5" s="1"/>
  <c r="B11" i="2"/>
  <c r="I24" i="5" s="1"/>
  <c r="E10" i="2"/>
  <c r="A23" i="5" s="1"/>
  <c r="C10" i="2"/>
  <c r="B10" i="2"/>
  <c r="I23" i="5" s="1"/>
  <c r="E9" i="2"/>
  <c r="A22" i="5" s="1"/>
  <c r="C9" i="2"/>
  <c r="B9" i="2"/>
  <c r="I22" i="5" s="1"/>
  <c r="E8" i="2"/>
  <c r="A21" i="5" s="1"/>
  <c r="B8" i="2"/>
  <c r="I21" i="5" s="1"/>
  <c r="E7" i="2"/>
  <c r="A20" i="5" s="1"/>
  <c r="B7" i="2"/>
  <c r="I20" i="5" s="1"/>
  <c r="E6" i="2"/>
  <c r="A19" i="5" s="1"/>
  <c r="B6" i="2"/>
  <c r="I19" i="5" s="1"/>
  <c r="AD5" i="2"/>
  <c r="AX4" i="2" s="1"/>
  <c r="V5" i="2"/>
  <c r="N5" i="2"/>
  <c r="F5" i="2"/>
  <c r="E5" i="2"/>
  <c r="A18" i="5" s="1"/>
  <c r="B5" i="2"/>
  <c r="I18" i="5" s="1"/>
  <c r="B4" i="2"/>
  <c r="C33" i="2"/>
  <c r="C31" i="2"/>
  <c r="C30" i="2"/>
  <c r="C29" i="2"/>
  <c r="C27" i="2"/>
  <c r="C26" i="2"/>
  <c r="C25" i="2"/>
  <c r="C23" i="2"/>
  <c r="C22" i="2"/>
  <c r="C21" i="2"/>
  <c r="C19" i="2"/>
  <c r="C18" i="2"/>
  <c r="C17" i="2"/>
  <c r="C15" i="2"/>
  <c r="C14" i="2"/>
  <c r="C13" i="2"/>
  <c r="E13" i="2"/>
  <c r="A26" i="5" s="1"/>
  <c r="E12" i="2"/>
  <c r="A25" i="5" s="1"/>
  <c r="C11" i="2"/>
  <c r="C7" i="2"/>
  <c r="BJ62" i="2" l="1"/>
  <c r="BJ57" i="2"/>
  <c r="BJ51" i="2"/>
  <c r="BJ47" i="2"/>
  <c r="BJ64" i="2"/>
  <c r="BJ60" i="2"/>
  <c r="BJ55" i="2"/>
  <c r="BJ52" i="2"/>
  <c r="BJ48" i="2"/>
  <c r="BJ59" i="2"/>
  <c r="BJ58" i="2"/>
  <c r="BJ49" i="2"/>
  <c r="BJ45" i="2"/>
  <c r="BJ61" i="2"/>
  <c r="BJ65" i="2"/>
  <c r="BJ53" i="2"/>
  <c r="BJ50" i="2"/>
  <c r="BJ46" i="2"/>
  <c r="BJ63" i="2"/>
  <c r="BJ56" i="2"/>
  <c r="BJ54" i="2"/>
  <c r="AJ55" i="2"/>
  <c r="AJ57" i="2"/>
  <c r="AJ48" i="2"/>
  <c r="AJ59" i="2"/>
  <c r="AJ49" i="2"/>
  <c r="AJ53" i="2"/>
  <c r="AJ60" i="2"/>
  <c r="AJ50" i="2"/>
  <c r="AJ52" i="2"/>
  <c r="AJ47" i="2"/>
  <c r="AJ63" i="2"/>
  <c r="AJ45" i="2"/>
  <c r="AJ64" i="2"/>
  <c r="AJ46" i="2"/>
  <c r="AJ56" i="2"/>
  <c r="AJ58" i="2"/>
  <c r="AJ61" i="2"/>
  <c r="AJ51" i="2"/>
  <c r="AJ65" i="2"/>
  <c r="AJ62" i="2"/>
  <c r="AJ54" i="2"/>
  <c r="G55" i="2"/>
  <c r="O55" i="2"/>
  <c r="W55" i="2"/>
  <c r="C56" i="2"/>
  <c r="BJ40" i="2"/>
  <c r="BJ41" i="2"/>
  <c r="BJ42" i="2"/>
  <c r="BJ43" i="2"/>
  <c r="BJ44" i="2"/>
  <c r="A53" i="5"/>
  <c r="A54" i="5"/>
  <c r="BJ34" i="2"/>
  <c r="BJ36" i="2"/>
  <c r="BJ38" i="2"/>
  <c r="BJ31" i="2"/>
  <c r="BI8" i="2"/>
  <c r="BW7" i="2"/>
  <c r="BW12" i="2"/>
  <c r="BI13" i="2"/>
  <c r="BI18" i="2"/>
  <c r="BW17" i="2"/>
  <c r="BW6" i="2"/>
  <c r="BI7" i="2"/>
  <c r="BW8" i="2"/>
  <c r="BI9" i="2"/>
  <c r="BI12" i="2"/>
  <c r="BW11" i="2"/>
  <c r="BI14" i="2"/>
  <c r="BW13" i="2"/>
  <c r="BI10" i="2"/>
  <c r="BW9" i="2"/>
  <c r="BI16" i="2"/>
  <c r="BW15" i="2"/>
  <c r="BW19" i="2"/>
  <c r="BI20" i="2"/>
  <c r="BW10" i="2"/>
  <c r="BI11" i="2"/>
  <c r="BW14" i="2"/>
  <c r="BI15" i="2"/>
  <c r="BW16" i="2"/>
  <c r="BI17" i="2"/>
  <c r="BW18" i="2"/>
  <c r="BI19" i="2"/>
  <c r="I33" i="5"/>
  <c r="BW20" i="2"/>
  <c r="BI6" i="2"/>
  <c r="BW5" i="2"/>
  <c r="BJ28" i="2"/>
  <c r="BJ32" i="2"/>
  <c r="BJ29" i="2"/>
  <c r="BJ33" i="2"/>
  <c r="BJ35" i="2"/>
  <c r="BJ37" i="2"/>
  <c r="BJ39" i="2"/>
  <c r="BJ30" i="2"/>
  <c r="BJ26" i="2"/>
  <c r="BJ27" i="2"/>
  <c r="BJ24" i="2"/>
  <c r="BJ25" i="2"/>
  <c r="BJ23" i="2"/>
  <c r="BJ20" i="2"/>
  <c r="BJ21" i="2"/>
  <c r="BJ22" i="2"/>
  <c r="BJ16" i="2"/>
  <c r="BJ10" i="2"/>
  <c r="BJ18" i="2"/>
  <c r="BJ12" i="2"/>
  <c r="BJ13" i="2"/>
  <c r="BJ15" i="2"/>
  <c r="BJ17" i="2"/>
  <c r="BJ19" i="2"/>
  <c r="BJ14" i="2"/>
  <c r="BJ11" i="2"/>
  <c r="J11" i="5"/>
  <c r="BI5" i="2"/>
  <c r="BJ9" i="2"/>
  <c r="BJ8" i="2"/>
  <c r="BJ7" i="2"/>
  <c r="BJ6" i="2"/>
  <c r="BJ5" i="2"/>
  <c r="AJ42" i="2"/>
  <c r="AJ44" i="2"/>
  <c r="AJ43" i="2"/>
  <c r="AJ41" i="2"/>
  <c r="E66" i="2"/>
  <c r="AJ14" i="2"/>
  <c r="J11" i="4"/>
  <c r="I21" i="4"/>
  <c r="I26" i="4"/>
  <c r="I29" i="4"/>
  <c r="I33" i="4"/>
  <c r="I18" i="4"/>
  <c r="I20" i="4"/>
  <c r="I22" i="4"/>
  <c r="I25" i="4"/>
  <c r="I19" i="4"/>
  <c r="I24" i="4"/>
  <c r="I23" i="4"/>
  <c r="I27" i="4"/>
  <c r="I31" i="4"/>
  <c r="I28" i="4"/>
  <c r="I30" i="4"/>
  <c r="I32" i="4"/>
  <c r="W5" i="2"/>
  <c r="X5" i="2" s="1"/>
  <c r="O5" i="2"/>
  <c r="P5" i="2" s="1"/>
  <c r="G23" i="2"/>
  <c r="W23" i="2"/>
  <c r="O23" i="2"/>
  <c r="W34" i="2"/>
  <c r="G34" i="2"/>
  <c r="O34" i="2"/>
  <c r="G36" i="2"/>
  <c r="O36" i="2"/>
  <c r="W36" i="2"/>
  <c r="W38" i="2"/>
  <c r="G38" i="2"/>
  <c r="O38" i="2"/>
  <c r="G40" i="2"/>
  <c r="O40" i="2"/>
  <c r="W40" i="2"/>
  <c r="G24" i="2"/>
  <c r="O24" i="2"/>
  <c r="W24" i="2"/>
  <c r="G11" i="2"/>
  <c r="W11" i="2"/>
  <c r="O11" i="2"/>
  <c r="W14" i="2"/>
  <c r="G14" i="2"/>
  <c r="O14" i="2"/>
  <c r="W17" i="2"/>
  <c r="O17" i="2"/>
  <c r="G17" i="2"/>
  <c r="W21" i="2"/>
  <c r="O21" i="2"/>
  <c r="G21" i="2"/>
  <c r="W26" i="2"/>
  <c r="G26" i="2"/>
  <c r="O26" i="2"/>
  <c r="G31" i="2"/>
  <c r="W31" i="2"/>
  <c r="O31" i="2"/>
  <c r="W10" i="2"/>
  <c r="G10" i="2"/>
  <c r="O10" i="2"/>
  <c r="G35" i="2"/>
  <c r="W35" i="2"/>
  <c r="O35" i="2"/>
  <c r="W37" i="2"/>
  <c r="O37" i="2"/>
  <c r="G37" i="2"/>
  <c r="G39" i="2"/>
  <c r="W39" i="2"/>
  <c r="O39" i="2"/>
  <c r="G32" i="2"/>
  <c r="O32" i="2"/>
  <c r="W32" i="2"/>
  <c r="G16" i="2"/>
  <c r="O16" i="2"/>
  <c r="W16" i="2"/>
  <c r="W18" i="2"/>
  <c r="G18" i="2"/>
  <c r="O18" i="2"/>
  <c r="W22" i="2"/>
  <c r="G22" i="2"/>
  <c r="O22" i="2"/>
  <c r="G27" i="2"/>
  <c r="W27" i="2"/>
  <c r="O27" i="2"/>
  <c r="W33" i="2"/>
  <c r="O33" i="2"/>
  <c r="G33" i="2"/>
  <c r="W9" i="2"/>
  <c r="O9" i="2"/>
  <c r="G9" i="2"/>
  <c r="G12" i="2"/>
  <c r="O12" i="2"/>
  <c r="W12" i="2"/>
  <c r="G28" i="2"/>
  <c r="O28" i="2"/>
  <c r="W28" i="2"/>
  <c r="G8" i="2"/>
  <c r="O8" i="2"/>
  <c r="G15" i="2"/>
  <c r="W15" i="2"/>
  <c r="O15" i="2"/>
  <c r="G19" i="2"/>
  <c r="W19" i="2"/>
  <c r="O19" i="2"/>
  <c r="W29" i="2"/>
  <c r="O29" i="2"/>
  <c r="G29" i="2"/>
  <c r="G7" i="2"/>
  <c r="W7" i="2"/>
  <c r="O7" i="2"/>
  <c r="W13" i="2"/>
  <c r="O13" i="2"/>
  <c r="G13" i="2"/>
  <c r="W25" i="2"/>
  <c r="O25" i="2"/>
  <c r="G25" i="2"/>
  <c r="W30" i="2"/>
  <c r="G30" i="2"/>
  <c r="O30" i="2"/>
  <c r="G20" i="2"/>
  <c r="O20" i="2"/>
  <c r="W20" i="2"/>
  <c r="AJ19" i="2"/>
  <c r="AJ8" i="2"/>
  <c r="AJ17" i="2"/>
  <c r="B21" i="2"/>
  <c r="AJ16" i="2"/>
  <c r="AJ10" i="2"/>
  <c r="AJ15" i="2"/>
  <c r="AJ13" i="2"/>
  <c r="AJ11" i="2"/>
  <c r="AJ20" i="2"/>
  <c r="AJ18" i="2"/>
  <c r="AJ9" i="2"/>
  <c r="AJ5" i="2"/>
  <c r="AJ6" i="2"/>
  <c r="AJ7" i="2"/>
  <c r="AJ12" i="2"/>
  <c r="W56" i="2" l="1"/>
  <c r="O56" i="2"/>
  <c r="G56" i="2"/>
  <c r="C57" i="2"/>
  <c r="Q5" i="5"/>
  <c r="W17" i="5"/>
  <c r="M9" i="5" s="1"/>
  <c r="Q5" i="4"/>
  <c r="W17" i="4"/>
  <c r="M9" i="4" s="1"/>
  <c r="I34" i="4"/>
  <c r="I34" i="5"/>
  <c r="BW21" i="2"/>
  <c r="BI21" i="2"/>
  <c r="D49" i="5"/>
  <c r="E49" i="5" s="1"/>
  <c r="J49" i="5" s="1"/>
  <c r="AJ21" i="2"/>
  <c r="B22" i="2"/>
  <c r="D47" i="5" l="1"/>
  <c r="E47" i="5" s="1"/>
  <c r="J47" i="5" s="1"/>
  <c r="D30" i="5"/>
  <c r="E30" i="5" s="1"/>
  <c r="P29" i="5"/>
  <c r="P30" i="5"/>
  <c r="D29" i="5"/>
  <c r="E29" i="5" s="1"/>
  <c r="M17" i="4"/>
  <c r="D24" i="4"/>
  <c r="E24" i="4" s="1"/>
  <c r="J24" i="4" s="1"/>
  <c r="D19" i="4"/>
  <c r="E19" i="4" s="1"/>
  <c r="J19" i="4" s="1"/>
  <c r="O57" i="2"/>
  <c r="W57" i="2"/>
  <c r="G57" i="2"/>
  <c r="C58" i="2"/>
  <c r="P34" i="5"/>
  <c r="P25" i="4"/>
  <c r="D36" i="4"/>
  <c r="E36" i="4" s="1"/>
  <c r="J36" i="4" s="1"/>
  <c r="E18" i="4"/>
  <c r="J18" i="4" s="1"/>
  <c r="P19" i="4"/>
  <c r="D38" i="4"/>
  <c r="E38" i="4" s="1"/>
  <c r="J38" i="4" s="1"/>
  <c r="D30" i="4"/>
  <c r="E30" i="4" s="1"/>
  <c r="J30" i="4" s="1"/>
  <c r="M17" i="5"/>
  <c r="P28" i="4"/>
  <c r="D35" i="4"/>
  <c r="E35" i="4" s="1"/>
  <c r="J35" i="4" s="1"/>
  <c r="D43" i="4"/>
  <c r="E43" i="4" s="1"/>
  <c r="J43" i="4" s="1"/>
  <c r="D20" i="4"/>
  <c r="E20" i="4" s="1"/>
  <c r="J20" i="4" s="1"/>
  <c r="P31" i="4"/>
  <c r="D52" i="4"/>
  <c r="E52" i="4" s="1"/>
  <c r="J52" i="4" s="1"/>
  <c r="D45" i="4"/>
  <c r="E45" i="4" s="1"/>
  <c r="J45" i="4" s="1"/>
  <c r="P27" i="4"/>
  <c r="D49" i="4"/>
  <c r="E49" i="4" s="1"/>
  <c r="J49" i="4" s="1"/>
  <c r="D40" i="4"/>
  <c r="E40" i="4" s="1"/>
  <c r="J40" i="4" s="1"/>
  <c r="D34" i="4"/>
  <c r="E34" i="4" s="1"/>
  <c r="J34" i="4" s="1"/>
  <c r="D25" i="4"/>
  <c r="E25" i="4" s="1"/>
  <c r="J25" i="4" s="1"/>
  <c r="P29" i="4"/>
  <c r="D53" i="4"/>
  <c r="E53" i="4" s="1"/>
  <c r="J53" i="4" s="1"/>
  <c r="P26" i="4"/>
  <c r="P18" i="4"/>
  <c r="D47" i="4"/>
  <c r="E47" i="4" s="1"/>
  <c r="J47" i="4" s="1"/>
  <c r="D48" i="4"/>
  <c r="E48" i="4" s="1"/>
  <c r="J48" i="4" s="1"/>
  <c r="D26" i="4"/>
  <c r="E26" i="4" s="1"/>
  <c r="J26" i="4" s="1"/>
  <c r="D23" i="4"/>
  <c r="E23" i="4" s="1"/>
  <c r="J23" i="4" s="1"/>
  <c r="I17" i="4"/>
  <c r="P17" i="4" s="1"/>
  <c r="D21" i="5"/>
  <c r="E21" i="5" s="1"/>
  <c r="J21" i="5" s="1"/>
  <c r="I17" i="5"/>
  <c r="P23" i="5"/>
  <c r="D51" i="5"/>
  <c r="E51" i="5" s="1"/>
  <c r="J51" i="5" s="1"/>
  <c r="P21" i="5"/>
  <c r="D53" i="5"/>
  <c r="E53" i="5" s="1"/>
  <c r="J53" i="5" s="1"/>
  <c r="D20" i="5"/>
  <c r="E20" i="5" s="1"/>
  <c r="J20" i="5" s="1"/>
  <c r="D48" i="5"/>
  <c r="E48" i="5" s="1"/>
  <c r="J48" i="5" s="1"/>
  <c r="D43" i="5"/>
  <c r="E43" i="5" s="1"/>
  <c r="J43" i="5" s="1"/>
  <c r="D52" i="5"/>
  <c r="E52" i="5" s="1"/>
  <c r="J52" i="5" s="1"/>
  <c r="D42" i="5"/>
  <c r="E42" i="5" s="1"/>
  <c r="J42" i="5" s="1"/>
  <c r="P24" i="5"/>
  <c r="D27" i="5"/>
  <c r="E27" i="5" s="1"/>
  <c r="J27" i="5" s="1"/>
  <c r="D46" i="5"/>
  <c r="E46" i="5" s="1"/>
  <c r="J46" i="5" s="1"/>
  <c r="D41" i="5"/>
  <c r="E41" i="5" s="1"/>
  <c r="J41" i="5" s="1"/>
  <c r="P22" i="5"/>
  <c r="D38" i="5"/>
  <c r="E38" i="5" s="1"/>
  <c r="J38" i="5" s="1"/>
  <c r="D39" i="5"/>
  <c r="E39" i="5" s="1"/>
  <c r="J39" i="5" s="1"/>
  <c r="D44" i="5"/>
  <c r="E44" i="5" s="1"/>
  <c r="J44" i="5" s="1"/>
  <c r="D36" i="5"/>
  <c r="E36" i="5" s="1"/>
  <c r="J36" i="5" s="1"/>
  <c r="P31" i="5"/>
  <c r="D32" i="5"/>
  <c r="E32" i="5" s="1"/>
  <c r="J32" i="5" s="1"/>
  <c r="P25" i="5"/>
  <c r="D33" i="5"/>
  <c r="E33" i="5" s="1"/>
  <c r="J33" i="5" s="1"/>
  <c r="P20" i="5"/>
  <c r="D40" i="5"/>
  <c r="E40" i="5" s="1"/>
  <c r="J40" i="5" s="1"/>
  <c r="D37" i="5"/>
  <c r="E37" i="5" s="1"/>
  <c r="J37" i="5" s="1"/>
  <c r="P32" i="5"/>
  <c r="D25" i="5"/>
  <c r="E25" i="5" s="1"/>
  <c r="J25" i="5" s="1"/>
  <c r="D35" i="5"/>
  <c r="E35" i="5" s="1"/>
  <c r="J35" i="5" s="1"/>
  <c r="D24" i="5"/>
  <c r="E24" i="5" s="1"/>
  <c r="J24" i="5" s="1"/>
  <c r="D34" i="5"/>
  <c r="E34" i="5" s="1"/>
  <c r="J34" i="5" s="1"/>
  <c r="E18" i="5"/>
  <c r="D45" i="5"/>
  <c r="E45" i="5" s="1"/>
  <c r="J45" i="5" s="1"/>
  <c r="D23" i="5"/>
  <c r="E23" i="5" s="1"/>
  <c r="J23" i="5" s="1"/>
  <c r="D22" i="5"/>
  <c r="E22" i="5" s="1"/>
  <c r="J22" i="5" s="1"/>
  <c r="P27" i="5"/>
  <c r="D28" i="5"/>
  <c r="E28" i="5" s="1"/>
  <c r="J28" i="5" s="1"/>
  <c r="D50" i="5"/>
  <c r="E50" i="5" s="1"/>
  <c r="J50" i="5" s="1"/>
  <c r="P19" i="5"/>
  <c r="P26" i="5"/>
  <c r="P18" i="5"/>
  <c r="D31" i="5"/>
  <c r="E31" i="5" s="1"/>
  <c r="J31" i="5" s="1"/>
  <c r="P28" i="5"/>
  <c r="P33" i="5"/>
  <c r="D19" i="5"/>
  <c r="E19" i="5" s="1"/>
  <c r="J19" i="5" s="1"/>
  <c r="D26" i="5"/>
  <c r="E26" i="5" s="1"/>
  <c r="J26" i="5" s="1"/>
  <c r="P21" i="4"/>
  <c r="P30" i="4"/>
  <c r="P32" i="4"/>
  <c r="P20" i="4"/>
  <c r="P24" i="4"/>
  <c r="P33" i="4"/>
  <c r="P22" i="4"/>
  <c r="P23" i="4"/>
  <c r="D50" i="4"/>
  <c r="E50" i="4" s="1"/>
  <c r="J50" i="4" s="1"/>
  <c r="D21" i="4"/>
  <c r="E21" i="4" s="1"/>
  <c r="J21" i="4" s="1"/>
  <c r="D31" i="4"/>
  <c r="E31" i="4" s="1"/>
  <c r="J31" i="4" s="1"/>
  <c r="D46" i="4"/>
  <c r="E46" i="4" s="1"/>
  <c r="J46" i="4" s="1"/>
  <c r="D44" i="4"/>
  <c r="E44" i="4" s="1"/>
  <c r="J44" i="4" s="1"/>
  <c r="D33" i="4"/>
  <c r="E33" i="4" s="1"/>
  <c r="J33" i="4" s="1"/>
  <c r="D37" i="4"/>
  <c r="E37" i="4" s="1"/>
  <c r="J37" i="4" s="1"/>
  <c r="D27" i="4"/>
  <c r="E27" i="4" s="1"/>
  <c r="J27" i="4" s="1"/>
  <c r="D42" i="4"/>
  <c r="E42" i="4" s="1"/>
  <c r="J42" i="4" s="1"/>
  <c r="D32" i="4"/>
  <c r="E32" i="4" s="1"/>
  <c r="J32" i="4" s="1"/>
  <c r="D29" i="4"/>
  <c r="E29" i="4" s="1"/>
  <c r="J29" i="4" s="1"/>
  <c r="D51" i="4"/>
  <c r="E51" i="4" s="1"/>
  <c r="J51" i="4" s="1"/>
  <c r="D39" i="4"/>
  <c r="E39" i="4" s="1"/>
  <c r="J39" i="4" s="1"/>
  <c r="D28" i="4"/>
  <c r="E28" i="4" s="1"/>
  <c r="J28" i="4" s="1"/>
  <c r="D22" i="4"/>
  <c r="E22" i="4" s="1"/>
  <c r="J22" i="4" s="1"/>
  <c r="D41" i="4"/>
  <c r="E41" i="4" s="1"/>
  <c r="J41" i="4" s="1"/>
  <c r="P34" i="4"/>
  <c r="BI22" i="2"/>
  <c r="I35" i="4"/>
  <c r="P35" i="4" s="1"/>
  <c r="I35" i="5"/>
  <c r="P35" i="5" s="1"/>
  <c r="BW22" i="2"/>
  <c r="AJ22" i="2"/>
  <c r="B23" i="2"/>
  <c r="J30" i="5" l="1"/>
  <c r="J29" i="5"/>
  <c r="J18" i="5"/>
  <c r="F18" i="5"/>
  <c r="L18" i="5" s="1"/>
  <c r="C59" i="2"/>
  <c r="W58" i="2"/>
  <c r="G58" i="2"/>
  <c r="O58" i="2"/>
  <c r="F18" i="4"/>
  <c r="BI23" i="2"/>
  <c r="I36" i="4"/>
  <c r="P36" i="4" s="1"/>
  <c r="I36" i="5"/>
  <c r="P36" i="5" s="1"/>
  <c r="BW23" i="2"/>
  <c r="AJ23" i="2"/>
  <c r="B24" i="2"/>
  <c r="G59" i="2" l="1"/>
  <c r="W59" i="2"/>
  <c r="O59" i="2"/>
  <c r="C60" i="2"/>
  <c r="K18" i="5"/>
  <c r="G18" i="5"/>
  <c r="BI24" i="2"/>
  <c r="I37" i="4"/>
  <c r="P37" i="4" s="1"/>
  <c r="I37" i="5"/>
  <c r="P37" i="5" s="1"/>
  <c r="BW24" i="2"/>
  <c r="AJ24" i="2"/>
  <c r="B25" i="2"/>
  <c r="M18" i="5" l="1"/>
  <c r="C61" i="2"/>
  <c r="W60" i="2"/>
  <c r="O60" i="2"/>
  <c r="G60" i="2"/>
  <c r="N18" i="5"/>
  <c r="F19" i="5" s="1"/>
  <c r="BI25" i="2"/>
  <c r="I38" i="4"/>
  <c r="P38" i="4" s="1"/>
  <c r="I38" i="5"/>
  <c r="P38" i="5" s="1"/>
  <c r="BW25" i="2"/>
  <c r="AJ25" i="2"/>
  <c r="B26" i="2"/>
  <c r="Q18" i="5" l="1"/>
  <c r="R18" i="5" s="1"/>
  <c r="W61" i="2"/>
  <c r="G61" i="2"/>
  <c r="O61" i="2"/>
  <c r="C62" i="2"/>
  <c r="BI26" i="2"/>
  <c r="I39" i="4"/>
  <c r="P39" i="4" s="1"/>
  <c r="I39" i="5"/>
  <c r="P39" i="5" s="1"/>
  <c r="BW26" i="2"/>
  <c r="L19" i="5"/>
  <c r="AJ26" i="2"/>
  <c r="B27" i="2"/>
  <c r="C63" i="2" l="1"/>
  <c r="W62" i="2"/>
  <c r="G62" i="2"/>
  <c r="O62" i="2"/>
  <c r="G19" i="5"/>
  <c r="BI27" i="2"/>
  <c r="I40" i="4"/>
  <c r="P40" i="4" s="1"/>
  <c r="I40" i="5"/>
  <c r="P40" i="5" s="1"/>
  <c r="BW27" i="2"/>
  <c r="K19" i="5"/>
  <c r="AJ27" i="2"/>
  <c r="B28" i="2"/>
  <c r="W63" i="2" l="1"/>
  <c r="G63" i="2"/>
  <c r="O63" i="2"/>
  <c r="C65" i="2"/>
  <c r="C64" i="2"/>
  <c r="N19" i="5"/>
  <c r="F20" i="5" s="1"/>
  <c r="L20" i="5" s="1"/>
  <c r="BI28" i="2"/>
  <c r="I41" i="4"/>
  <c r="P41" i="4" s="1"/>
  <c r="I41" i="5"/>
  <c r="P41" i="5" s="1"/>
  <c r="BW28" i="2"/>
  <c r="M19" i="5"/>
  <c r="AJ28" i="2"/>
  <c r="B29" i="2"/>
  <c r="W65" i="2" l="1"/>
  <c r="G65" i="2"/>
  <c r="O65" i="2"/>
  <c r="W64" i="2"/>
  <c r="G64" i="2"/>
  <c r="O64" i="2"/>
  <c r="BI29" i="2"/>
  <c r="G20" i="5"/>
  <c r="I42" i="4"/>
  <c r="P42" i="4" s="1"/>
  <c r="I42" i="5"/>
  <c r="P42" i="5" s="1"/>
  <c r="BW29" i="2"/>
  <c r="Q19" i="5"/>
  <c r="R19" i="5" s="1"/>
  <c r="K20" i="5"/>
  <c r="AJ29" i="2"/>
  <c r="B30" i="2"/>
  <c r="BI30" i="2" l="1"/>
  <c r="I43" i="4"/>
  <c r="P43" i="4" s="1"/>
  <c r="I43" i="5"/>
  <c r="P43" i="5" s="1"/>
  <c r="BW30" i="2"/>
  <c r="M20" i="5"/>
  <c r="N20" i="5"/>
  <c r="AJ30" i="2"/>
  <c r="B31" i="2"/>
  <c r="BI31" i="2" l="1"/>
  <c r="I44" i="4"/>
  <c r="P44" i="4" s="1"/>
  <c r="I44" i="5"/>
  <c r="P44" i="5" s="1"/>
  <c r="BW31" i="2"/>
  <c r="F21" i="5"/>
  <c r="L21" i="5" s="1"/>
  <c r="Q20" i="5"/>
  <c r="R20" i="5" s="1"/>
  <c r="AJ31" i="2"/>
  <c r="B32" i="2"/>
  <c r="BI32" i="2" l="1"/>
  <c r="I45" i="4"/>
  <c r="P45" i="4" s="1"/>
  <c r="I45" i="5"/>
  <c r="P45" i="5" s="1"/>
  <c r="BW32" i="2"/>
  <c r="G21" i="5"/>
  <c r="K21" i="5"/>
  <c r="AJ32" i="2"/>
  <c r="B33" i="2"/>
  <c r="N21" i="5" l="1"/>
  <c r="F22" i="5" s="1"/>
  <c r="L22" i="5" s="1"/>
  <c r="BI33" i="2"/>
  <c r="I46" i="4"/>
  <c r="P46" i="4" s="1"/>
  <c r="I46" i="5"/>
  <c r="P46" i="5" s="1"/>
  <c r="BW33" i="2"/>
  <c r="M21" i="5"/>
  <c r="AJ33" i="2"/>
  <c r="B34" i="2"/>
  <c r="G22" i="5" l="1"/>
  <c r="BI34" i="2"/>
  <c r="I47" i="4"/>
  <c r="P47" i="4" s="1"/>
  <c r="I47" i="5"/>
  <c r="P47" i="5" s="1"/>
  <c r="BW34" i="2"/>
  <c r="Q21" i="5"/>
  <c r="R21" i="5" s="1"/>
  <c r="K22" i="5"/>
  <c r="AJ34" i="2"/>
  <c r="B35" i="2"/>
  <c r="BI35" i="2" l="1"/>
  <c r="I48" i="4"/>
  <c r="P48" i="4" s="1"/>
  <c r="I48" i="5"/>
  <c r="P48" i="5" s="1"/>
  <c r="BW35" i="2"/>
  <c r="M22" i="5"/>
  <c r="N22" i="5"/>
  <c r="AJ35" i="2"/>
  <c r="B36" i="2"/>
  <c r="BI36" i="2" l="1"/>
  <c r="I49" i="4"/>
  <c r="P49" i="4" s="1"/>
  <c r="I49" i="5"/>
  <c r="P49" i="5" s="1"/>
  <c r="BW36" i="2"/>
  <c r="F23" i="5"/>
  <c r="L23" i="5" s="1"/>
  <c r="Q22" i="5"/>
  <c r="R22" i="5" s="1"/>
  <c r="AJ36" i="2"/>
  <c r="B37" i="2"/>
  <c r="K23" i="5" l="1"/>
  <c r="BI37" i="2"/>
  <c r="I50" i="4"/>
  <c r="P50" i="4" s="1"/>
  <c r="I50" i="5"/>
  <c r="P50" i="5" s="1"/>
  <c r="BW37" i="2"/>
  <c r="G23" i="5"/>
  <c r="AJ37" i="2"/>
  <c r="B38" i="2"/>
  <c r="BI38" i="2" l="1"/>
  <c r="N23" i="5"/>
  <c r="F24" i="5" s="1"/>
  <c r="L24" i="5" s="1"/>
  <c r="M23" i="5"/>
  <c r="I51" i="4"/>
  <c r="P51" i="4" s="1"/>
  <c r="I51" i="5"/>
  <c r="P51" i="5" s="1"/>
  <c r="BW38" i="2"/>
  <c r="AJ38" i="2"/>
  <c r="B39" i="2"/>
  <c r="B40" i="2"/>
  <c r="BI41" i="2" s="1"/>
  <c r="BI39" i="2" l="1"/>
  <c r="Q23" i="5"/>
  <c r="R23" i="5" s="1"/>
  <c r="I52" i="4"/>
  <c r="P52" i="4" s="1"/>
  <c r="I52" i="5"/>
  <c r="P52" i="5" s="1"/>
  <c r="BW39" i="2"/>
  <c r="BI40" i="2"/>
  <c r="I53" i="4"/>
  <c r="P53" i="4" s="1"/>
  <c r="I53" i="5"/>
  <c r="P53" i="5" s="1"/>
  <c r="BW40" i="2"/>
  <c r="G24" i="5"/>
  <c r="K24" i="5"/>
  <c r="AJ40" i="2"/>
  <c r="AJ39" i="2"/>
  <c r="N24" i="5" l="1"/>
  <c r="F25" i="5" s="1"/>
  <c r="L25" i="5" s="1"/>
  <c r="M24" i="5"/>
  <c r="H5" i="2"/>
  <c r="K25" i="5" l="1"/>
  <c r="Q24" i="5"/>
  <c r="R24" i="5" s="1"/>
  <c r="G25" i="5"/>
  <c r="J5" i="2"/>
  <c r="I5" i="2" l="1"/>
  <c r="N25" i="5"/>
  <c r="F26" i="5" s="1"/>
  <c r="L26" i="5" s="1"/>
  <c r="M25" i="5"/>
  <c r="K5" i="2" l="1"/>
  <c r="F6" i="2"/>
  <c r="H6" i="2" s="1"/>
  <c r="Q25" i="5"/>
  <c r="R25" i="5" s="1"/>
  <c r="G26" i="5"/>
  <c r="K26" i="5"/>
  <c r="M5" i="2" l="1"/>
  <c r="A18" i="4" s="1"/>
  <c r="J6" i="2"/>
  <c r="AL5" i="2"/>
  <c r="BB5" i="2"/>
  <c r="N26" i="5"/>
  <c r="F27" i="5" s="1"/>
  <c r="L27" i="5" s="1"/>
  <c r="M26" i="5"/>
  <c r="R5" i="2" l="1"/>
  <c r="Q5" i="2" s="1"/>
  <c r="I6" i="2"/>
  <c r="K27" i="5"/>
  <c r="G27" i="5"/>
  <c r="Q26" i="5"/>
  <c r="R26" i="5" s="1"/>
  <c r="F7" i="2" l="1"/>
  <c r="H7" i="2" s="1"/>
  <c r="J7" i="2" s="1"/>
  <c r="K6" i="2"/>
  <c r="M27" i="5"/>
  <c r="N27" i="5"/>
  <c r="F28" i="5" s="1"/>
  <c r="L28" i="5" s="1"/>
  <c r="N6" i="2"/>
  <c r="P6" i="2" s="1"/>
  <c r="S5" i="2"/>
  <c r="M6" i="2" l="1"/>
  <c r="A19" i="4" s="1"/>
  <c r="BB6" i="2"/>
  <c r="AL6" i="2"/>
  <c r="Q27" i="5"/>
  <c r="R27" i="5" s="1"/>
  <c r="K28" i="5"/>
  <c r="G28" i="5"/>
  <c r="U5" i="2"/>
  <c r="BC5" i="2"/>
  <c r="AP5" i="2"/>
  <c r="I7" i="2"/>
  <c r="R6" i="2" l="1"/>
  <c r="Q6" i="2" s="1"/>
  <c r="N7" i="2" s="1"/>
  <c r="P7" i="2" s="1"/>
  <c r="N28" i="5"/>
  <c r="M28" i="5"/>
  <c r="K7" i="2"/>
  <c r="F8" i="2"/>
  <c r="L18" i="4"/>
  <c r="Z5" i="2"/>
  <c r="F29" i="5" l="1"/>
  <c r="S6" i="2"/>
  <c r="BC6" i="2" s="1"/>
  <c r="Q28" i="5"/>
  <c r="R28" i="5" s="1"/>
  <c r="H8" i="2"/>
  <c r="Y5" i="2"/>
  <c r="K18" i="4"/>
  <c r="G18" i="4"/>
  <c r="BB7" i="2"/>
  <c r="AL7" i="2"/>
  <c r="M7" i="2"/>
  <c r="A20" i="4" s="1"/>
  <c r="L29" i="5" l="1"/>
  <c r="AP6" i="2"/>
  <c r="U6" i="2"/>
  <c r="J8" i="2"/>
  <c r="N18" i="4"/>
  <c r="F19" i="4" s="1"/>
  <c r="M18" i="4"/>
  <c r="Q18" i="4" s="1"/>
  <c r="R7" i="2"/>
  <c r="V6" i="2"/>
  <c r="X6" i="2" s="1"/>
  <c r="AA5" i="2"/>
  <c r="K29" i="5" l="1"/>
  <c r="N29" i="5" s="1"/>
  <c r="G29" i="5"/>
  <c r="I8" i="2"/>
  <c r="L19" i="4"/>
  <c r="AT5" i="2"/>
  <c r="AC5" i="2"/>
  <c r="BD5" i="2"/>
  <c r="Q7" i="2"/>
  <c r="Z6" i="2"/>
  <c r="F30" i="5" l="1"/>
  <c r="L30" i="5" s="1"/>
  <c r="M29" i="5"/>
  <c r="Q29" i="5" s="1"/>
  <c r="R29" i="5" s="1"/>
  <c r="F9" i="2"/>
  <c r="H9" i="2" s="1"/>
  <c r="K8" i="2"/>
  <c r="K19" i="4"/>
  <c r="G19" i="4"/>
  <c r="N8" i="2"/>
  <c r="S7" i="2"/>
  <c r="Y6" i="2"/>
  <c r="K30" i="5" l="1"/>
  <c r="N30" i="5" s="1"/>
  <c r="F31" i="5" s="1"/>
  <c r="G30" i="5"/>
  <c r="AL8" i="2"/>
  <c r="BB8" i="2"/>
  <c r="M8" i="2"/>
  <c r="A21" i="4" s="1"/>
  <c r="J9" i="2"/>
  <c r="N19" i="4"/>
  <c r="F20" i="4" s="1"/>
  <c r="M19" i="4"/>
  <c r="Q19" i="4" s="1"/>
  <c r="P8" i="2"/>
  <c r="V7" i="2"/>
  <c r="X7" i="2" s="1"/>
  <c r="AA6" i="2"/>
  <c r="AP7" i="2"/>
  <c r="BC7" i="2"/>
  <c r="U7" i="2"/>
  <c r="L31" i="5" l="1"/>
  <c r="K31" i="5" s="1"/>
  <c r="N31" i="5" s="1"/>
  <c r="F32" i="5" s="1"/>
  <c r="M30" i="5"/>
  <c r="Q30" i="5" s="1"/>
  <c r="R30" i="5" s="1"/>
  <c r="I9" i="2"/>
  <c r="R8" i="2"/>
  <c r="Q8" i="2" s="1"/>
  <c r="AC6" i="2"/>
  <c r="AT6" i="2"/>
  <c r="BD6" i="2"/>
  <c r="Z7" i="2"/>
  <c r="M31" i="5" l="1"/>
  <c r="Q31" i="5" s="1"/>
  <c r="R31" i="5" s="1"/>
  <c r="G31" i="5"/>
  <c r="L32" i="5" s="1"/>
  <c r="G32" i="5" s="1"/>
  <c r="F10" i="2"/>
  <c r="H10" i="2" s="1"/>
  <c r="J10" i="2" s="1"/>
  <c r="K9" i="2"/>
  <c r="K32" i="5"/>
  <c r="Y7" i="2"/>
  <c r="S8" i="2"/>
  <c r="N9" i="2"/>
  <c r="L20" i="4"/>
  <c r="BB9" i="2" l="1"/>
  <c r="M9" i="2"/>
  <c r="A22" i="4" s="1"/>
  <c r="AL9" i="2"/>
  <c r="G20" i="4"/>
  <c r="N32" i="5"/>
  <c r="F33" i="5" s="1"/>
  <c r="L33" i="5" s="1"/>
  <c r="M32" i="5"/>
  <c r="I10" i="2"/>
  <c r="P9" i="2"/>
  <c r="AA7" i="2"/>
  <c r="V8" i="2"/>
  <c r="K20" i="4"/>
  <c r="BC8" i="2"/>
  <c r="U8" i="2"/>
  <c r="AP8" i="2"/>
  <c r="R9" i="2" l="1"/>
  <c r="Q9" i="2" s="1"/>
  <c r="N10" i="2" s="1"/>
  <c r="N20" i="4"/>
  <c r="F21" i="4" s="1"/>
  <c r="K33" i="5"/>
  <c r="G33" i="5"/>
  <c r="Q32" i="5"/>
  <c r="R32" i="5" s="1"/>
  <c r="X8" i="2"/>
  <c r="F11" i="2"/>
  <c r="K10" i="2"/>
  <c r="BD7" i="2"/>
  <c r="AT7" i="2"/>
  <c r="AC7" i="2"/>
  <c r="M20" i="4"/>
  <c r="Q20" i="4" s="1"/>
  <c r="Z8" i="2" l="1"/>
  <c r="Y8" i="2" s="1"/>
  <c r="N33" i="5"/>
  <c r="F34" i="5" s="1"/>
  <c r="L34" i="5" s="1"/>
  <c r="M33" i="5"/>
  <c r="S9" i="2"/>
  <c r="BC9" i="2" s="1"/>
  <c r="M10" i="2"/>
  <c r="A23" i="4" s="1"/>
  <c r="AL10" i="2"/>
  <c r="BB10" i="2"/>
  <c r="P10" i="2"/>
  <c r="H11" i="2"/>
  <c r="J11" i="2" s="1"/>
  <c r="L21" i="4"/>
  <c r="K21" i="4" l="1"/>
  <c r="M21" i="4" s="1"/>
  <c r="Q21" i="4" s="1"/>
  <c r="G34" i="5"/>
  <c r="Q33" i="5"/>
  <c r="R33" i="5" s="1"/>
  <c r="K34" i="5"/>
  <c r="AP9" i="2"/>
  <c r="U9" i="2"/>
  <c r="R10" i="2"/>
  <c r="I11" i="2"/>
  <c r="G21" i="4"/>
  <c r="V9" i="2"/>
  <c r="AA8" i="2"/>
  <c r="N34" i="5" l="1"/>
  <c r="F35" i="5" s="1"/>
  <c r="L35" i="5" s="1"/>
  <c r="N21" i="4"/>
  <c r="F22" i="4" s="1"/>
  <c r="L22" i="4" s="1"/>
  <c r="M34" i="5"/>
  <c r="X9" i="2"/>
  <c r="K11" i="2"/>
  <c r="F12" i="2"/>
  <c r="Q10" i="2"/>
  <c r="BD8" i="2"/>
  <c r="AT8" i="2"/>
  <c r="AC8" i="2"/>
  <c r="Z9" i="2" l="1"/>
  <c r="Y9" i="2" s="1"/>
  <c r="G35" i="5"/>
  <c r="Q34" i="5"/>
  <c r="R34" i="5" s="1"/>
  <c r="K22" i="4"/>
  <c r="K35" i="5"/>
  <c r="H12" i="2"/>
  <c r="J12" i="2" s="1"/>
  <c r="M11" i="2"/>
  <c r="A24" i="4" s="1"/>
  <c r="BB11" i="2"/>
  <c r="AL11" i="2"/>
  <c r="S10" i="2"/>
  <c r="N11" i="2"/>
  <c r="G22" i="4"/>
  <c r="M35" i="5" l="1"/>
  <c r="N35" i="5"/>
  <c r="F36" i="5" s="1"/>
  <c r="L36" i="5" s="1"/>
  <c r="N22" i="4"/>
  <c r="F23" i="4" s="1"/>
  <c r="L23" i="4" s="1"/>
  <c r="M22" i="4"/>
  <c r="Q22" i="4" s="1"/>
  <c r="U10" i="2"/>
  <c r="AP10" i="2"/>
  <c r="BC10" i="2"/>
  <c r="I12" i="2"/>
  <c r="P11" i="2"/>
  <c r="R11" i="2" s="1"/>
  <c r="AA9" i="2"/>
  <c r="V10" i="2"/>
  <c r="Q35" i="5" l="1"/>
  <c r="R35" i="5" s="1"/>
  <c r="K36" i="5"/>
  <c r="N36" i="5" s="1"/>
  <c r="K23" i="4"/>
  <c r="M23" i="4" s="1"/>
  <c r="Q23" i="4" s="1"/>
  <c r="G36" i="5"/>
  <c r="Q11" i="2"/>
  <c r="F13" i="2"/>
  <c r="K12" i="2"/>
  <c r="X10" i="2"/>
  <c r="Z10" i="2" s="1"/>
  <c r="G23" i="4"/>
  <c r="AC9" i="2"/>
  <c r="AT9" i="2"/>
  <c r="BD9" i="2"/>
  <c r="M36" i="5" l="1"/>
  <c r="Q36" i="5" s="1"/>
  <c r="R36" i="5" s="1"/>
  <c r="F37" i="5"/>
  <c r="L37" i="5" s="1"/>
  <c r="K37" i="5" s="1"/>
  <c r="N37" i="5" s="1"/>
  <c r="F38" i="5" s="1"/>
  <c r="N23" i="4"/>
  <c r="F24" i="4" s="1"/>
  <c r="L24" i="4" s="1"/>
  <c r="Y10" i="2"/>
  <c r="V11" i="2" s="1"/>
  <c r="H13" i="2"/>
  <c r="J13" i="2" s="1"/>
  <c r="M12" i="2"/>
  <c r="A25" i="4" s="1"/>
  <c r="AL12" i="2"/>
  <c r="BB12" i="2"/>
  <c r="S11" i="2"/>
  <c r="N12" i="2"/>
  <c r="M37" i="5" l="1"/>
  <c r="Q37" i="5" s="1"/>
  <c r="R37" i="5" s="1"/>
  <c r="G24" i="4"/>
  <c r="K24" i="4"/>
  <c r="G37" i="5"/>
  <c r="AA10" i="2"/>
  <c r="AC10" i="2" s="1"/>
  <c r="I13" i="2"/>
  <c r="X11" i="2"/>
  <c r="P12" i="2"/>
  <c r="R12" i="2" s="1"/>
  <c r="BC11" i="2"/>
  <c r="AP11" i="2"/>
  <c r="U11" i="2"/>
  <c r="N24" i="4" l="1"/>
  <c r="F25" i="4" s="1"/>
  <c r="L25" i="4" s="1"/>
  <c r="M24" i="4"/>
  <c r="Q24" i="4" s="1"/>
  <c r="AT10" i="2"/>
  <c r="BD10" i="2"/>
  <c r="Q12" i="2"/>
  <c r="Z11" i="2"/>
  <c r="F14" i="2"/>
  <c r="K13" i="2"/>
  <c r="G25" i="4" l="1"/>
  <c r="K25" i="4"/>
  <c r="M25" i="4" s="1"/>
  <c r="Q25" i="4" s="1"/>
  <c r="M13" i="2"/>
  <c r="A26" i="4" s="1"/>
  <c r="AL13" i="2"/>
  <c r="BB13" i="2"/>
  <c r="H14" i="2"/>
  <c r="J14" i="2" s="1"/>
  <c r="Y11" i="2"/>
  <c r="N13" i="2"/>
  <c r="S12" i="2"/>
  <c r="N25" i="4" l="1"/>
  <c r="F26" i="4" s="1"/>
  <c r="L26" i="4" s="1"/>
  <c r="BC12" i="2"/>
  <c r="AP12" i="2"/>
  <c r="U12" i="2"/>
  <c r="P13" i="2"/>
  <c r="R13" i="2" s="1"/>
  <c r="AA11" i="2"/>
  <c r="V12" i="2"/>
  <c r="I14" i="2"/>
  <c r="K26" i="4" l="1"/>
  <c r="G26" i="4"/>
  <c r="X12" i="2"/>
  <c r="Z12" i="2" s="1"/>
  <c r="K14" i="2"/>
  <c r="F15" i="2"/>
  <c r="BD11" i="2"/>
  <c r="AT11" i="2"/>
  <c r="AC11" i="2"/>
  <c r="Q13" i="2"/>
  <c r="N26" i="4" l="1"/>
  <c r="F27" i="4" s="1"/>
  <c r="H15" i="2"/>
  <c r="J15" i="2" s="1"/>
  <c r="M14" i="2"/>
  <c r="A27" i="4" s="1"/>
  <c r="BB14" i="2"/>
  <c r="AL14" i="2"/>
  <c r="Y12" i="2"/>
  <c r="M26" i="4"/>
  <c r="Q26" i="4" s="1"/>
  <c r="S13" i="2"/>
  <c r="N14" i="2"/>
  <c r="BC13" i="2" l="1"/>
  <c r="AP13" i="2"/>
  <c r="U13" i="2"/>
  <c r="AA12" i="2"/>
  <c r="V13" i="2"/>
  <c r="P14" i="2"/>
  <c r="R14" i="2" s="1"/>
  <c r="I15" i="2"/>
  <c r="Q14" i="2" l="1"/>
  <c r="BD12" i="2"/>
  <c r="AT12" i="2"/>
  <c r="AC12" i="2"/>
  <c r="F16" i="2"/>
  <c r="K15" i="2"/>
  <c r="X13" i="2"/>
  <c r="Z13" i="2" s="1"/>
  <c r="L27" i="4"/>
  <c r="Y13" i="2" l="1"/>
  <c r="G27" i="4"/>
  <c r="K27" i="4"/>
  <c r="H16" i="2"/>
  <c r="J16" i="2" s="1"/>
  <c r="AL15" i="2"/>
  <c r="BB15" i="2"/>
  <c r="M15" i="2"/>
  <c r="A28" i="4" s="1"/>
  <c r="S14" i="2"/>
  <c r="N15" i="2"/>
  <c r="N27" i="4" l="1"/>
  <c r="F28" i="4" s="1"/>
  <c r="I16" i="2"/>
  <c r="P15" i="2"/>
  <c r="R15" i="2" s="1"/>
  <c r="BC14" i="2"/>
  <c r="AP14" i="2"/>
  <c r="U14" i="2"/>
  <c r="M27" i="4"/>
  <c r="Q27" i="4" s="1"/>
  <c r="AA13" i="2"/>
  <c r="V14" i="2"/>
  <c r="BD13" i="2" l="1"/>
  <c r="AT13" i="2"/>
  <c r="AC13" i="2"/>
  <c r="L28" i="4"/>
  <c r="X14" i="2"/>
  <c r="Z14" i="2" s="1"/>
  <c r="Q15" i="2"/>
  <c r="F17" i="2"/>
  <c r="K16" i="2"/>
  <c r="H17" i="2" l="1"/>
  <c r="J17" i="2" s="1"/>
  <c r="S15" i="2"/>
  <c r="N16" i="2"/>
  <c r="BB16" i="2"/>
  <c r="AL16" i="2"/>
  <c r="M16" i="2"/>
  <c r="A29" i="4" s="1"/>
  <c r="G28" i="4"/>
  <c r="K28" i="4"/>
  <c r="Y14" i="2"/>
  <c r="N28" i="4" l="1"/>
  <c r="F29" i="4" s="1"/>
  <c r="M28" i="4"/>
  <c r="Q28" i="4" s="1"/>
  <c r="AA14" i="2"/>
  <c r="V15" i="2"/>
  <c r="BC15" i="2"/>
  <c r="AP15" i="2"/>
  <c r="U15" i="2"/>
  <c r="I17" i="2"/>
  <c r="P16" i="2"/>
  <c r="R16" i="2" s="1"/>
  <c r="F18" i="2" l="1"/>
  <c r="K17" i="2"/>
  <c r="L29" i="4"/>
  <c r="X15" i="2"/>
  <c r="AT14" i="2"/>
  <c r="BD14" i="2"/>
  <c r="AC14" i="2"/>
  <c r="Q16" i="2"/>
  <c r="G29" i="4" l="1"/>
  <c r="K29" i="4"/>
  <c r="Z15" i="2"/>
  <c r="S16" i="2"/>
  <c r="N17" i="2"/>
  <c r="AL17" i="2"/>
  <c r="M17" i="2"/>
  <c r="A30" i="4" s="1"/>
  <c r="BB17" i="2"/>
  <c r="H18" i="2"/>
  <c r="J18" i="2" s="1"/>
  <c r="N29" i="4" l="1"/>
  <c r="F30" i="4" s="1"/>
  <c r="L30" i="4" s="1"/>
  <c r="I18" i="2"/>
  <c r="P17" i="2"/>
  <c r="R17" i="2" s="1"/>
  <c r="Y15" i="2"/>
  <c r="AP16" i="2"/>
  <c r="BC16" i="2"/>
  <c r="U16" i="2"/>
  <c r="M29" i="4"/>
  <c r="Q29" i="4" l="1"/>
  <c r="K30" i="4"/>
  <c r="G30" i="4"/>
  <c r="Q17" i="2"/>
  <c r="V16" i="2"/>
  <c r="AA15" i="2"/>
  <c r="K18" i="2"/>
  <c r="F19" i="2"/>
  <c r="N30" i="4" l="1"/>
  <c r="F31" i="4" s="1"/>
  <c r="M30" i="4"/>
  <c r="N18" i="2"/>
  <c r="S17" i="2"/>
  <c r="H19" i="2"/>
  <c r="J19" i="2" s="1"/>
  <c r="AT15" i="2"/>
  <c r="BD15" i="2"/>
  <c r="AC15" i="2"/>
  <c r="AL18" i="2"/>
  <c r="M18" i="2"/>
  <c r="A31" i="4" s="1"/>
  <c r="BB18" i="2"/>
  <c r="X16" i="2"/>
  <c r="Q30" i="4" l="1"/>
  <c r="Z16" i="2"/>
  <c r="I19" i="2"/>
  <c r="L31" i="4"/>
  <c r="BC17" i="2"/>
  <c r="AP17" i="2"/>
  <c r="U17" i="2"/>
  <c r="P18" i="2"/>
  <c r="R18" i="2" s="1"/>
  <c r="K31" i="4" l="1"/>
  <c r="G31" i="4"/>
  <c r="K19" i="2"/>
  <c r="F20" i="2"/>
  <c r="Q18" i="2"/>
  <c r="Y16" i="2"/>
  <c r="N31" i="4" l="1"/>
  <c r="F32" i="4" s="1"/>
  <c r="AA16" i="2"/>
  <c r="V17" i="2"/>
  <c r="S18" i="2"/>
  <c r="N19" i="2"/>
  <c r="M31" i="4"/>
  <c r="H20" i="2"/>
  <c r="J20" i="2" s="1"/>
  <c r="AL19" i="2"/>
  <c r="BB19" i="2"/>
  <c r="M19" i="2"/>
  <c r="A32" i="4" s="1"/>
  <c r="Q31" i="4" l="1"/>
  <c r="X17" i="2"/>
  <c r="BD16" i="2"/>
  <c r="AT16" i="2"/>
  <c r="AC16" i="2"/>
  <c r="L32" i="4"/>
  <c r="P19" i="2"/>
  <c r="R19" i="2" s="1"/>
  <c r="I20" i="2"/>
  <c r="AP18" i="2"/>
  <c r="BC18" i="2"/>
  <c r="U18" i="2"/>
  <c r="K32" i="4" l="1"/>
  <c r="G32" i="4"/>
  <c r="F21" i="2"/>
  <c r="K20" i="2"/>
  <c r="Q19" i="2"/>
  <c r="Z17" i="2"/>
  <c r="N32" i="4" l="1"/>
  <c r="F33" i="4" s="1"/>
  <c r="Y17" i="2"/>
  <c r="N20" i="2"/>
  <c r="S19" i="2"/>
  <c r="M32" i="4"/>
  <c r="M20" i="2"/>
  <c r="A33" i="4" s="1"/>
  <c r="AL20" i="2"/>
  <c r="BB20" i="2"/>
  <c r="H21" i="2"/>
  <c r="Q32" i="4" l="1"/>
  <c r="AP19" i="2"/>
  <c r="BC19" i="2"/>
  <c r="U19" i="2"/>
  <c r="L33" i="4"/>
  <c r="P20" i="2"/>
  <c r="R20" i="2" s="1"/>
  <c r="J21" i="2"/>
  <c r="V18" i="2"/>
  <c r="AA17" i="2"/>
  <c r="Q20" i="2" l="1"/>
  <c r="I21" i="2"/>
  <c r="K33" i="4"/>
  <c r="G33" i="4"/>
  <c r="X18" i="2"/>
  <c r="BD17" i="2"/>
  <c r="AT17" i="2"/>
  <c r="AC17" i="2"/>
  <c r="N33" i="4" l="1"/>
  <c r="F34" i="4" s="1"/>
  <c r="M33" i="4"/>
  <c r="Q33" i="4" s="1"/>
  <c r="Z18" i="2"/>
  <c r="K21" i="2"/>
  <c r="F22" i="2"/>
  <c r="N21" i="2"/>
  <c r="S20" i="2"/>
  <c r="H22" i="2" l="1"/>
  <c r="AP20" i="2"/>
  <c r="BC20" i="2"/>
  <c r="U20" i="2"/>
  <c r="AL21" i="2"/>
  <c r="M21" i="2"/>
  <c r="A34" i="4" s="1"/>
  <c r="BB21" i="2"/>
  <c r="P21" i="2"/>
  <c r="Y18" i="2"/>
  <c r="V19" i="2" l="1"/>
  <c r="AA18" i="2"/>
  <c r="R21" i="2"/>
  <c r="J22" i="2"/>
  <c r="I22" i="2" l="1"/>
  <c r="L34" i="4"/>
  <c r="AT18" i="2"/>
  <c r="BD18" i="2"/>
  <c r="AC18" i="2"/>
  <c r="Q21" i="2"/>
  <c r="X19" i="2"/>
  <c r="K34" i="4" l="1"/>
  <c r="S21" i="2"/>
  <c r="N22" i="2"/>
  <c r="Z19" i="2"/>
  <c r="G34" i="4"/>
  <c r="F23" i="2"/>
  <c r="K22" i="2"/>
  <c r="N34" i="4" l="1"/>
  <c r="F35" i="4" s="1"/>
  <c r="M34" i="4"/>
  <c r="Q34" i="4" s="1"/>
  <c r="P22" i="2"/>
  <c r="AP21" i="2"/>
  <c r="BC21" i="2"/>
  <c r="U21" i="2"/>
  <c r="BB22" i="2"/>
  <c r="M22" i="2"/>
  <c r="A35" i="4" s="1"/>
  <c r="AL22" i="2"/>
  <c r="H23" i="2"/>
  <c r="Y19" i="2"/>
  <c r="L35" i="4" l="1"/>
  <c r="J23" i="2"/>
  <c r="R22" i="2"/>
  <c r="V20" i="2"/>
  <c r="AA19" i="2"/>
  <c r="G35" i="4" l="1"/>
  <c r="K35" i="4"/>
  <c r="Q22" i="2"/>
  <c r="AT19" i="2"/>
  <c r="BD19" i="2"/>
  <c r="AC19" i="2"/>
  <c r="I23" i="2"/>
  <c r="X20" i="2"/>
  <c r="Z20" i="2" s="1"/>
  <c r="N35" i="4" l="1"/>
  <c r="F36" i="4" s="1"/>
  <c r="M35" i="4"/>
  <c r="S22" i="2"/>
  <c r="N23" i="2"/>
  <c r="F24" i="2"/>
  <c r="K23" i="2"/>
  <c r="Y20" i="2"/>
  <c r="Q35" i="4" l="1"/>
  <c r="U22" i="2"/>
  <c r="AP22" i="2"/>
  <c r="BC22" i="2"/>
  <c r="M23" i="2"/>
  <c r="A36" i="4" s="1"/>
  <c r="BB23" i="2"/>
  <c r="AL23" i="2"/>
  <c r="H24" i="2"/>
  <c r="AA20" i="2"/>
  <c r="V21" i="2"/>
  <c r="P23" i="2"/>
  <c r="X21" i="2" l="1"/>
  <c r="J24" i="2"/>
  <c r="AT20" i="2"/>
  <c r="BD20" i="2"/>
  <c r="AC20" i="2"/>
  <c r="R23" i="2"/>
  <c r="Z21" i="2" l="1"/>
  <c r="Q23" i="2"/>
  <c r="I24" i="2"/>
  <c r="L36" i="4"/>
  <c r="K36" i="4" l="1"/>
  <c r="G36" i="4"/>
  <c r="K24" i="2"/>
  <c r="F25" i="2"/>
  <c r="Y21" i="2"/>
  <c r="N24" i="2"/>
  <c r="S23" i="2"/>
  <c r="N36" i="4" l="1"/>
  <c r="F37" i="4" s="1"/>
  <c r="M36" i="4"/>
  <c r="AL24" i="2"/>
  <c r="M24" i="2"/>
  <c r="A37" i="4" s="1"/>
  <c r="BB24" i="2"/>
  <c r="AP23" i="2"/>
  <c r="BC23" i="2"/>
  <c r="U23" i="2"/>
  <c r="AA21" i="2"/>
  <c r="V22" i="2"/>
  <c r="H25" i="2"/>
  <c r="P24" i="2"/>
  <c r="Q36" i="4" l="1"/>
  <c r="R24" i="2"/>
  <c r="X22" i="2"/>
  <c r="AT21" i="2"/>
  <c r="BD21" i="2"/>
  <c r="AC21" i="2"/>
  <c r="J25" i="2"/>
  <c r="I25" i="2" l="1"/>
  <c r="L37" i="4"/>
  <c r="Z22" i="2"/>
  <c r="Q24" i="2"/>
  <c r="Y22" i="2" l="1"/>
  <c r="N25" i="2"/>
  <c r="S24" i="2"/>
  <c r="G37" i="4"/>
  <c r="K37" i="4"/>
  <c r="K25" i="2"/>
  <c r="F26" i="2"/>
  <c r="N37" i="4" l="1"/>
  <c r="F38" i="4" s="1"/>
  <c r="M37" i="4"/>
  <c r="AP24" i="2"/>
  <c r="BC24" i="2"/>
  <c r="U24" i="2"/>
  <c r="H26" i="2"/>
  <c r="M25" i="2"/>
  <c r="A38" i="4" s="1"/>
  <c r="AL25" i="2"/>
  <c r="BB25" i="2"/>
  <c r="P25" i="2"/>
  <c r="V23" i="2"/>
  <c r="AA22" i="2"/>
  <c r="Q37" i="4" l="1"/>
  <c r="L38" i="4"/>
  <c r="AC22" i="2"/>
  <c r="AT22" i="2"/>
  <c r="BD22" i="2"/>
  <c r="J26" i="2"/>
  <c r="X23" i="2"/>
  <c r="R25" i="2"/>
  <c r="L38" i="5" l="1"/>
  <c r="I26" i="2"/>
  <c r="Z23" i="2"/>
  <c r="Q25" i="2"/>
  <c r="K38" i="4"/>
  <c r="G38" i="4"/>
  <c r="N38" i="4" l="1"/>
  <c r="F39" i="4" s="1"/>
  <c r="K38" i="5"/>
  <c r="M38" i="5" s="1"/>
  <c r="G38" i="5"/>
  <c r="Y23" i="2"/>
  <c r="M38" i="4"/>
  <c r="N26" i="2"/>
  <c r="S25" i="2"/>
  <c r="F27" i="2"/>
  <c r="K26" i="2"/>
  <c r="Q38" i="4" l="1"/>
  <c r="Q38" i="5"/>
  <c r="N38" i="5"/>
  <c r="F39" i="5" s="1"/>
  <c r="P26" i="2"/>
  <c r="BB26" i="2"/>
  <c r="M26" i="2"/>
  <c r="AL26" i="2"/>
  <c r="V24" i="2"/>
  <c r="AA23" i="2"/>
  <c r="H27" i="2"/>
  <c r="AP25" i="2"/>
  <c r="BC25" i="2"/>
  <c r="U25" i="2"/>
  <c r="A39" i="4" l="1"/>
  <c r="A54" i="4" s="1"/>
  <c r="R38" i="5"/>
  <c r="X24" i="2"/>
  <c r="R26" i="2"/>
  <c r="J27" i="2"/>
  <c r="AT23" i="2"/>
  <c r="BD23" i="2"/>
  <c r="AC23" i="2"/>
  <c r="L39" i="4" l="1"/>
  <c r="G39" i="4" s="1"/>
  <c r="L39" i="5"/>
  <c r="Z24" i="2"/>
  <c r="Q26" i="2"/>
  <c r="I27" i="2"/>
  <c r="K39" i="4" l="1"/>
  <c r="M39" i="4" s="1"/>
  <c r="Q39" i="4" s="1"/>
  <c r="K39" i="5"/>
  <c r="M39" i="5" s="1"/>
  <c r="G39" i="5"/>
  <c r="K27" i="2"/>
  <c r="F28" i="2"/>
  <c r="Y24" i="2"/>
  <c r="S26" i="2"/>
  <c r="N27" i="2"/>
  <c r="N39" i="4" l="1"/>
  <c r="F40" i="4" s="1"/>
  <c r="Q39" i="5"/>
  <c r="N39" i="5"/>
  <c r="F40" i="5" s="1"/>
  <c r="P27" i="2"/>
  <c r="V25" i="2"/>
  <c r="AA24" i="2"/>
  <c r="BC26" i="2"/>
  <c r="AP26" i="2"/>
  <c r="U26" i="2"/>
  <c r="H28" i="2"/>
  <c r="J28" i="2" s="1"/>
  <c r="BB27" i="2"/>
  <c r="AL27" i="2"/>
  <c r="M27" i="2"/>
  <c r="A40" i="4" s="1"/>
  <c r="L40" i="4" l="1"/>
  <c r="L40" i="5"/>
  <c r="R39" i="5"/>
  <c r="AT24" i="2"/>
  <c r="BD24" i="2"/>
  <c r="AC24" i="2"/>
  <c r="X25" i="2"/>
  <c r="I28" i="2"/>
  <c r="R27" i="2"/>
  <c r="K40" i="4" l="1"/>
  <c r="K40" i="5"/>
  <c r="M40" i="5" s="1"/>
  <c r="G40" i="5"/>
  <c r="K28" i="2"/>
  <c r="F29" i="2"/>
  <c r="Z25" i="2"/>
  <c r="Q27" i="2"/>
  <c r="G40" i="4"/>
  <c r="N40" i="4" l="1"/>
  <c r="F41" i="4" s="1"/>
  <c r="M40" i="4"/>
  <c r="Q40" i="5"/>
  <c r="N40" i="5"/>
  <c r="N28" i="2"/>
  <c r="S27" i="2"/>
  <c r="H29" i="2"/>
  <c r="J29" i="2" s="1"/>
  <c r="Y25" i="2"/>
  <c r="M28" i="2"/>
  <c r="A41" i="4" s="1"/>
  <c r="AL28" i="2"/>
  <c r="BB28" i="2"/>
  <c r="L41" i="4" l="1"/>
  <c r="R40" i="5"/>
  <c r="F41" i="5"/>
  <c r="I29" i="2"/>
  <c r="AP27" i="2"/>
  <c r="BC27" i="2"/>
  <c r="U27" i="2"/>
  <c r="P28" i="2"/>
  <c r="R28" i="2" s="1"/>
  <c r="AA25" i="2"/>
  <c r="V26" i="2"/>
  <c r="L41" i="5" l="1"/>
  <c r="AT25" i="2"/>
  <c r="BD25" i="2"/>
  <c r="AC25" i="2"/>
  <c r="K29" i="2"/>
  <c r="F30" i="2"/>
  <c r="Q28" i="2"/>
  <c r="X26" i="2"/>
  <c r="Z26" i="2" s="1"/>
  <c r="K41" i="4"/>
  <c r="G41" i="4"/>
  <c r="K41" i="5" l="1"/>
  <c r="N41" i="5" s="1"/>
  <c r="F42" i="5" s="1"/>
  <c r="N41" i="4"/>
  <c r="F42" i="4" s="1"/>
  <c r="G41" i="5"/>
  <c r="H30" i="2"/>
  <c r="J30" i="2" s="1"/>
  <c r="AL29" i="2"/>
  <c r="BB29" i="2"/>
  <c r="M29" i="2"/>
  <c r="A42" i="4" s="1"/>
  <c r="M41" i="4"/>
  <c r="Y26" i="2"/>
  <c r="S28" i="2"/>
  <c r="N29" i="2"/>
  <c r="M41" i="5" l="1"/>
  <c r="Q41" i="5" s="1"/>
  <c r="L42" i="4"/>
  <c r="L42" i="5"/>
  <c r="P29" i="2"/>
  <c r="R29" i="2" s="1"/>
  <c r="AP28" i="2"/>
  <c r="BC28" i="2"/>
  <c r="U28" i="2"/>
  <c r="I30" i="2"/>
  <c r="AA26" i="2"/>
  <c r="V27" i="2"/>
  <c r="K42" i="5" l="1"/>
  <c r="N42" i="5" s="1"/>
  <c r="F43" i="5" s="1"/>
  <c r="G42" i="5"/>
  <c r="R41" i="5"/>
  <c r="K42" i="4"/>
  <c r="G42" i="4"/>
  <c r="K30" i="2"/>
  <c r="F31" i="2"/>
  <c r="Q29" i="2"/>
  <c r="BD26" i="2"/>
  <c r="AT26" i="2"/>
  <c r="AC26" i="2"/>
  <c r="X27" i="2"/>
  <c r="Z27" i="2" s="1"/>
  <c r="M42" i="5" l="1"/>
  <c r="Q42" i="5" s="1"/>
  <c r="N42" i="4"/>
  <c r="F43" i="4" s="1"/>
  <c r="M42" i="4"/>
  <c r="M30" i="2"/>
  <c r="A43" i="4" s="1"/>
  <c r="AL30" i="2"/>
  <c r="BB30" i="2"/>
  <c r="H31" i="2"/>
  <c r="J31" i="2" s="1"/>
  <c r="Y27" i="2"/>
  <c r="S29" i="2"/>
  <c r="N30" i="2"/>
  <c r="R42" i="5" l="1"/>
  <c r="L43" i="5"/>
  <c r="K43" i="5" s="1"/>
  <c r="N43" i="5" s="1"/>
  <c r="F44" i="5" s="1"/>
  <c r="I31" i="2"/>
  <c r="P30" i="2"/>
  <c r="R30" i="2" s="1"/>
  <c r="AP29" i="2"/>
  <c r="BC29" i="2"/>
  <c r="U29" i="2"/>
  <c r="AA27" i="2"/>
  <c r="V28" i="2"/>
  <c r="L43" i="4" l="1"/>
  <c r="G43" i="4" s="1"/>
  <c r="M43" i="5"/>
  <c r="G43" i="5"/>
  <c r="X28" i="2"/>
  <c r="Z28" i="2" s="1"/>
  <c r="BD27" i="2"/>
  <c r="AT27" i="2"/>
  <c r="AC27" i="2"/>
  <c r="Q30" i="2"/>
  <c r="F32" i="2"/>
  <c r="K31" i="2"/>
  <c r="K43" i="4" l="1"/>
  <c r="M43" i="4" s="1"/>
  <c r="Q43" i="5"/>
  <c r="R43" i="5" s="1"/>
  <c r="Y28" i="2"/>
  <c r="AL31" i="2"/>
  <c r="M31" i="2"/>
  <c r="A44" i="4" s="1"/>
  <c r="BB31" i="2"/>
  <c r="H32" i="2"/>
  <c r="J32" i="2" s="1"/>
  <c r="S30" i="2"/>
  <c r="N31" i="2"/>
  <c r="N43" i="4" l="1"/>
  <c r="F44" i="4" s="1"/>
  <c r="L44" i="5"/>
  <c r="I32" i="2"/>
  <c r="P31" i="2"/>
  <c r="R31" i="2" s="1"/>
  <c r="V29" i="2"/>
  <c r="AA28" i="2"/>
  <c r="AP30" i="2"/>
  <c r="BC30" i="2"/>
  <c r="U30" i="2"/>
  <c r="L44" i="4" l="1"/>
  <c r="G44" i="4" s="1"/>
  <c r="K44" i="5"/>
  <c r="N44" i="5" s="1"/>
  <c r="F45" i="5" s="1"/>
  <c r="G44" i="5"/>
  <c r="AT28" i="2"/>
  <c r="BD28" i="2"/>
  <c r="AC28" i="2"/>
  <c r="X29" i="2"/>
  <c r="Z29" i="2" s="1"/>
  <c r="F33" i="2"/>
  <c r="K32" i="2"/>
  <c r="Q31" i="2"/>
  <c r="K44" i="4" l="1"/>
  <c r="N44" i="4" s="1"/>
  <c r="F45" i="4" s="1"/>
  <c r="M44" i="5"/>
  <c r="Q44" i="5" s="1"/>
  <c r="R44" i="5" s="1"/>
  <c r="S31" i="2"/>
  <c r="N32" i="2"/>
  <c r="AL32" i="2"/>
  <c r="M32" i="2"/>
  <c r="A45" i="4" s="1"/>
  <c r="BB32" i="2"/>
  <c r="Y29" i="2"/>
  <c r="H33" i="2"/>
  <c r="J33" i="2" s="1"/>
  <c r="M44" i="4" l="1"/>
  <c r="L45" i="4"/>
  <c r="L45" i="5"/>
  <c r="AA29" i="2"/>
  <c r="V30" i="2"/>
  <c r="I33" i="2"/>
  <c r="P32" i="2"/>
  <c r="R32" i="2" s="1"/>
  <c r="AP31" i="2"/>
  <c r="BC31" i="2"/>
  <c r="U31" i="2"/>
  <c r="K45" i="5" l="1"/>
  <c r="N45" i="5" s="1"/>
  <c r="G45" i="5"/>
  <c r="X30" i="2"/>
  <c r="Z30" i="2" s="1"/>
  <c r="K45" i="4"/>
  <c r="G45" i="4"/>
  <c r="BD29" i="2"/>
  <c r="AT29" i="2"/>
  <c r="AC29" i="2"/>
  <c r="Q32" i="2"/>
  <c r="K33" i="2"/>
  <c r="F34" i="2"/>
  <c r="N45" i="4" l="1"/>
  <c r="F46" i="4" s="1"/>
  <c r="M45" i="5"/>
  <c r="F46" i="5"/>
  <c r="M45" i="4"/>
  <c r="H34" i="2"/>
  <c r="J34" i="2" s="1"/>
  <c r="BB33" i="2"/>
  <c r="AL33" i="2"/>
  <c r="M33" i="2"/>
  <c r="A46" i="4" s="1"/>
  <c r="Y30" i="2"/>
  <c r="S32" i="2"/>
  <c r="N33" i="2"/>
  <c r="Q45" i="5" l="1"/>
  <c r="R45" i="5" s="1"/>
  <c r="L46" i="4"/>
  <c r="P33" i="2"/>
  <c r="R33" i="2" s="1"/>
  <c r="AA30" i="2"/>
  <c r="V31" i="2"/>
  <c r="I34" i="2"/>
  <c r="BC32" i="2"/>
  <c r="AP32" i="2"/>
  <c r="U32" i="2"/>
  <c r="L46" i="5" l="1"/>
  <c r="K46" i="5" s="1"/>
  <c r="N46" i="5" s="1"/>
  <c r="F35" i="2"/>
  <c r="K34" i="2"/>
  <c r="AT30" i="2"/>
  <c r="BD30" i="2"/>
  <c r="AC30" i="2"/>
  <c r="K46" i="4"/>
  <c r="G46" i="4"/>
  <c r="Q33" i="2"/>
  <c r="X31" i="2"/>
  <c r="Z31" i="2" s="1"/>
  <c r="N46" i="4" l="1"/>
  <c r="F47" i="4" s="1"/>
  <c r="G46" i="5"/>
  <c r="F47" i="5"/>
  <c r="M46" i="5"/>
  <c r="Q46" i="5" s="1"/>
  <c r="R46" i="5" s="1"/>
  <c r="Y31" i="2"/>
  <c r="M46" i="4"/>
  <c r="M34" i="2"/>
  <c r="A47" i="4" s="1"/>
  <c r="BB34" i="2"/>
  <c r="AL34" i="2"/>
  <c r="N34" i="2"/>
  <c r="S33" i="2"/>
  <c r="H35" i="2"/>
  <c r="J35" i="2" s="1"/>
  <c r="BC33" i="2" l="1"/>
  <c r="AP33" i="2"/>
  <c r="U33" i="2"/>
  <c r="P34" i="2"/>
  <c r="R34" i="2" s="1"/>
  <c r="I35" i="2"/>
  <c r="V32" i="2"/>
  <c r="AA31" i="2"/>
  <c r="L47" i="5" l="1"/>
  <c r="K47" i="5" s="1"/>
  <c r="L47" i="4"/>
  <c r="X32" i="2"/>
  <c r="Z32" i="2" s="1"/>
  <c r="K35" i="2"/>
  <c r="F36" i="2"/>
  <c r="Q34" i="2"/>
  <c r="BD31" i="2"/>
  <c r="AT31" i="2"/>
  <c r="AC31" i="2"/>
  <c r="G47" i="4" l="1"/>
  <c r="N47" i="5"/>
  <c r="M47" i="5"/>
  <c r="Q47" i="5" s="1"/>
  <c r="R47" i="5" s="1"/>
  <c r="G47" i="5"/>
  <c r="K47" i="4"/>
  <c r="Y32" i="2"/>
  <c r="H36" i="2"/>
  <c r="J36" i="2" s="1"/>
  <c r="M35" i="2"/>
  <c r="A48" i="4" s="1"/>
  <c r="AL35" i="2"/>
  <c r="BB35" i="2"/>
  <c r="N35" i="2"/>
  <c r="S34" i="2"/>
  <c r="N47" i="4" l="1"/>
  <c r="F48" i="4" s="1"/>
  <c r="M47" i="4"/>
  <c r="F48" i="5"/>
  <c r="P35" i="2"/>
  <c r="R35" i="2" s="1"/>
  <c r="BC34" i="2"/>
  <c r="AP34" i="2"/>
  <c r="U34" i="2"/>
  <c r="V33" i="2"/>
  <c r="AA32" i="2"/>
  <c r="I36" i="2"/>
  <c r="L48" i="4" l="1"/>
  <c r="G48" i="4" s="1"/>
  <c r="L48" i="5"/>
  <c r="K48" i="5" s="1"/>
  <c r="K36" i="2"/>
  <c r="F37" i="2"/>
  <c r="Q35" i="2"/>
  <c r="BD32" i="2"/>
  <c r="AT32" i="2"/>
  <c r="AC32" i="2"/>
  <c r="X33" i="2"/>
  <c r="Z33" i="2" s="1"/>
  <c r="BE66" i="2"/>
  <c r="K48" i="4" l="1"/>
  <c r="N48" i="4" s="1"/>
  <c r="F49" i="4" s="1"/>
  <c r="N48" i="5"/>
  <c r="F49" i="5" s="1"/>
  <c r="M48" i="5"/>
  <c r="Q48" i="5" s="1"/>
  <c r="R48" i="5" s="1"/>
  <c r="G48" i="5"/>
  <c r="Y33" i="2"/>
  <c r="H37" i="2"/>
  <c r="J37" i="2" s="1"/>
  <c r="M36" i="2"/>
  <c r="A49" i="4" s="1"/>
  <c r="AL36" i="2"/>
  <c r="BB36" i="2"/>
  <c r="S35" i="2"/>
  <c r="N36" i="2"/>
  <c r="M48" i="4" l="1"/>
  <c r="Q48" i="4" s="1"/>
  <c r="R48" i="4" s="1"/>
  <c r="L49" i="4"/>
  <c r="I37" i="2"/>
  <c r="P36" i="2"/>
  <c r="R36" i="2" s="1"/>
  <c r="BC35" i="2"/>
  <c r="AP35" i="2"/>
  <c r="U35" i="2"/>
  <c r="V34" i="2"/>
  <c r="AA33" i="2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Q40" i="4"/>
  <c r="R40" i="4" s="1"/>
  <c r="Q41" i="4"/>
  <c r="R41" i="4" s="1"/>
  <c r="Q42" i="4"/>
  <c r="R42" i="4" s="1"/>
  <c r="Q43" i="4"/>
  <c r="R43" i="4" s="1"/>
  <c r="Q44" i="4"/>
  <c r="R44" i="4" s="1"/>
  <c r="Q45" i="4"/>
  <c r="R45" i="4" s="1"/>
  <c r="Q46" i="4"/>
  <c r="R46" i="4" s="1"/>
  <c r="Q47" i="4"/>
  <c r="R47" i="4" s="1"/>
  <c r="K49" i="4" l="1"/>
  <c r="L49" i="5"/>
  <c r="G49" i="5" s="1"/>
  <c r="G49" i="4"/>
  <c r="AT33" i="2"/>
  <c r="BD33" i="2"/>
  <c r="AC33" i="2"/>
  <c r="X34" i="2"/>
  <c r="Z34" i="2" s="1"/>
  <c r="Q36" i="2"/>
  <c r="K37" i="2"/>
  <c r="F38" i="2"/>
  <c r="R17" i="4"/>
  <c r="K49" i="5" l="1"/>
  <c r="N49" i="5" s="1"/>
  <c r="F50" i="5" s="1"/>
  <c r="N49" i="4"/>
  <c r="F50" i="4" s="1"/>
  <c r="M49" i="4"/>
  <c r="N37" i="2"/>
  <c r="S36" i="2"/>
  <c r="H38" i="2"/>
  <c r="J38" i="2" s="1"/>
  <c r="BB37" i="2"/>
  <c r="M37" i="2"/>
  <c r="A50" i="4" s="1"/>
  <c r="AL37" i="2"/>
  <c r="Y34" i="2"/>
  <c r="M49" i="5" l="1"/>
  <c r="Q49" i="5" s="1"/>
  <c r="R49" i="5" s="1"/>
  <c r="Q49" i="4"/>
  <c r="R49" i="4" s="1"/>
  <c r="L50" i="4"/>
  <c r="AP36" i="2"/>
  <c r="BC36" i="2"/>
  <c r="U36" i="2"/>
  <c r="I38" i="2"/>
  <c r="P37" i="2"/>
  <c r="R37" i="2" s="1"/>
  <c r="AA34" i="2"/>
  <c r="V35" i="2"/>
  <c r="L50" i="5" l="1"/>
  <c r="K50" i="5" s="1"/>
  <c r="N50" i="5" s="1"/>
  <c r="BD34" i="2"/>
  <c r="AT34" i="2"/>
  <c r="AC34" i="2"/>
  <c r="K38" i="2"/>
  <c r="F39" i="2"/>
  <c r="K50" i="4"/>
  <c r="G50" i="4"/>
  <c r="Q37" i="2"/>
  <c r="X35" i="2"/>
  <c r="Z35" i="2" s="1"/>
  <c r="N50" i="4" l="1"/>
  <c r="F51" i="4" s="1"/>
  <c r="G50" i="5"/>
  <c r="F51" i="5"/>
  <c r="M50" i="5"/>
  <c r="Q50" i="5" s="1"/>
  <c r="R50" i="5" s="1"/>
  <c r="M50" i="4"/>
  <c r="Y35" i="2"/>
  <c r="N38" i="2"/>
  <c r="S37" i="2"/>
  <c r="H39" i="2"/>
  <c r="J39" i="2" s="1"/>
  <c r="BB38" i="2"/>
  <c r="M38" i="2"/>
  <c r="A51" i="4" s="1"/>
  <c r="AL38" i="2"/>
  <c r="L51" i="4" l="1"/>
  <c r="Q50" i="4"/>
  <c r="R50" i="4" s="1"/>
  <c r="I39" i="2"/>
  <c r="BC37" i="2"/>
  <c r="AP37" i="2"/>
  <c r="U37" i="2"/>
  <c r="P38" i="2"/>
  <c r="R38" i="2" s="1"/>
  <c r="V36" i="2"/>
  <c r="AA35" i="2"/>
  <c r="L51" i="5" l="1"/>
  <c r="G51" i="5" s="1"/>
  <c r="X36" i="2"/>
  <c r="Z36" i="2" s="1"/>
  <c r="Q38" i="2"/>
  <c r="AT35" i="2"/>
  <c r="BD35" i="2"/>
  <c r="AC35" i="2"/>
  <c r="K51" i="4"/>
  <c r="G51" i="4"/>
  <c r="K39" i="2"/>
  <c r="F40" i="2"/>
  <c r="K51" i="5" l="1"/>
  <c r="N51" i="5" s="1"/>
  <c r="F52" i="5" s="1"/>
  <c r="N51" i="4"/>
  <c r="F52" i="4" s="1"/>
  <c r="AL39" i="2"/>
  <c r="BB39" i="2"/>
  <c r="M39" i="2"/>
  <c r="A52" i="4" s="1"/>
  <c r="M51" i="4"/>
  <c r="S38" i="2"/>
  <c r="N39" i="2"/>
  <c r="Y36" i="2"/>
  <c r="H40" i="2"/>
  <c r="J40" i="2" s="1"/>
  <c r="M51" i="5" l="1"/>
  <c r="Q51" i="5" s="1"/>
  <c r="R51" i="5" s="1"/>
  <c r="L52" i="4"/>
  <c r="BK6" i="2"/>
  <c r="BK5" i="2"/>
  <c r="BK7" i="2"/>
  <c r="BK8" i="2"/>
  <c r="BK9" i="2"/>
  <c r="BK11" i="2"/>
  <c r="BK10" i="2"/>
  <c r="BK12" i="2"/>
  <c r="BK13" i="2"/>
  <c r="BK15" i="2"/>
  <c r="BK14" i="2"/>
  <c r="BK17" i="2"/>
  <c r="BK16" i="2"/>
  <c r="I40" i="2"/>
  <c r="BK18" i="2"/>
  <c r="BK20" i="2"/>
  <c r="BK19" i="2"/>
  <c r="BK21" i="2"/>
  <c r="BK22" i="2"/>
  <c r="BK23" i="2"/>
  <c r="BK24" i="2"/>
  <c r="BK25" i="2"/>
  <c r="BK26" i="2"/>
  <c r="BK27" i="2"/>
  <c r="BK30" i="2"/>
  <c r="BK28" i="2"/>
  <c r="BK29" i="2"/>
  <c r="BK32" i="2"/>
  <c r="BK33" i="2"/>
  <c r="BK31" i="2"/>
  <c r="BK34" i="2"/>
  <c r="BK35" i="2"/>
  <c r="BK36" i="2"/>
  <c r="BK38" i="2"/>
  <c r="BK39" i="2"/>
  <c r="BK37" i="2"/>
  <c r="Q51" i="4"/>
  <c r="BK40" i="2"/>
  <c r="V37" i="2"/>
  <c r="AA36" i="2"/>
  <c r="P39" i="2"/>
  <c r="R39" i="2" s="1"/>
  <c r="AP38" i="2"/>
  <c r="BC38" i="2"/>
  <c r="U38" i="2"/>
  <c r="L52" i="5" l="1"/>
  <c r="K52" i="5" s="1"/>
  <c r="N52" i="5" s="1"/>
  <c r="AT36" i="2"/>
  <c r="BD36" i="2"/>
  <c r="AC36" i="2"/>
  <c r="K52" i="4"/>
  <c r="G52" i="4"/>
  <c r="BN37" i="2"/>
  <c r="BN35" i="2"/>
  <c r="BN32" i="2"/>
  <c r="BN27" i="2"/>
  <c r="BN23" i="2"/>
  <c r="BN20" i="2"/>
  <c r="BN17" i="2"/>
  <c r="BN12" i="2"/>
  <c r="BN8" i="2"/>
  <c r="R51" i="4"/>
  <c r="BN39" i="2"/>
  <c r="BN34" i="2"/>
  <c r="BN29" i="2"/>
  <c r="BN26" i="2"/>
  <c r="BN22" i="2"/>
  <c r="BN18" i="2"/>
  <c r="BN14" i="2"/>
  <c r="BN10" i="2"/>
  <c r="BN7" i="2"/>
  <c r="X37" i="2"/>
  <c r="Z37" i="2" s="1"/>
  <c r="BN40" i="2"/>
  <c r="BN38" i="2"/>
  <c r="BN31" i="2"/>
  <c r="BN28" i="2"/>
  <c r="BN25" i="2"/>
  <c r="BN21" i="2"/>
  <c r="F41" i="2"/>
  <c r="H41" i="2" s="1"/>
  <c r="J41" i="2" s="1"/>
  <c r="K40" i="2"/>
  <c r="BN15" i="2"/>
  <c r="BN11" i="2"/>
  <c r="BN5" i="2"/>
  <c r="Q39" i="2"/>
  <c r="BN36" i="2"/>
  <c r="BN33" i="2"/>
  <c r="BN30" i="2"/>
  <c r="BN24" i="2"/>
  <c r="BN19" i="2"/>
  <c r="BN16" i="2"/>
  <c r="BN13" i="2"/>
  <c r="BN9" i="2"/>
  <c r="BN6" i="2"/>
  <c r="I41" i="2" l="1"/>
  <c r="F42" i="2" s="1"/>
  <c r="H42" i="2" s="1"/>
  <c r="J42" i="2" s="1"/>
  <c r="BK41" i="2"/>
  <c r="G52" i="5"/>
  <c r="N52" i="4"/>
  <c r="F53" i="4" s="1"/>
  <c r="F54" i="4" s="1"/>
  <c r="F53" i="5"/>
  <c r="F54" i="5" s="1"/>
  <c r="M52" i="5"/>
  <c r="Q52" i="5" s="1"/>
  <c r="R52" i="5" s="1"/>
  <c r="M52" i="4"/>
  <c r="BT9" i="2"/>
  <c r="BQ9" i="2"/>
  <c r="BT24" i="2"/>
  <c r="BQ24" i="2"/>
  <c r="BT33" i="2"/>
  <c r="BQ33" i="2"/>
  <c r="BQ11" i="2"/>
  <c r="BT11" i="2"/>
  <c r="BQ38" i="2"/>
  <c r="BT38" i="2"/>
  <c r="BT14" i="2"/>
  <c r="BQ14" i="2"/>
  <c r="BQ18" i="2"/>
  <c r="BT18" i="2"/>
  <c r="BT26" i="2"/>
  <c r="BQ26" i="2"/>
  <c r="BQ12" i="2"/>
  <c r="BT12" i="2"/>
  <c r="BT17" i="2"/>
  <c r="BQ17" i="2"/>
  <c r="BT25" i="2"/>
  <c r="BQ25" i="2"/>
  <c r="BT34" i="2"/>
  <c r="BQ34" i="2"/>
  <c r="BQ32" i="2"/>
  <c r="BT32" i="2"/>
  <c r="BT37" i="2"/>
  <c r="BQ37" i="2"/>
  <c r="BT13" i="2"/>
  <c r="BQ13" i="2"/>
  <c r="BT19" i="2"/>
  <c r="BQ19" i="2"/>
  <c r="BQ16" i="2"/>
  <c r="BT16" i="2"/>
  <c r="BT36" i="2"/>
  <c r="BQ36" i="2"/>
  <c r="S39" i="2"/>
  <c r="N40" i="2"/>
  <c r="BT15" i="2"/>
  <c r="BQ15" i="2"/>
  <c r="BT21" i="2"/>
  <c r="BQ21" i="2"/>
  <c r="BQ40" i="2"/>
  <c r="BT40" i="2"/>
  <c r="Y37" i="2"/>
  <c r="BT22" i="2"/>
  <c r="BQ22" i="2"/>
  <c r="BT29" i="2"/>
  <c r="BQ29" i="2"/>
  <c r="BQ39" i="2"/>
  <c r="BT39" i="2"/>
  <c r="BT8" i="2"/>
  <c r="BQ8" i="2"/>
  <c r="BQ20" i="2"/>
  <c r="BT20" i="2"/>
  <c r="BQ27" i="2"/>
  <c r="BT27" i="2"/>
  <c r="BQ6" i="2"/>
  <c r="BT6" i="2"/>
  <c r="BQ30" i="2"/>
  <c r="BT30" i="2"/>
  <c r="BQ5" i="2"/>
  <c r="BZ5" i="2"/>
  <c r="BT5" i="2"/>
  <c r="BB40" i="2"/>
  <c r="AL40" i="2"/>
  <c r="M40" i="2"/>
  <c r="A53" i="4" s="1"/>
  <c r="BT28" i="2"/>
  <c r="BQ28" i="2"/>
  <c r="BQ31" i="2"/>
  <c r="BT31" i="2"/>
  <c r="BT7" i="2"/>
  <c r="BQ7" i="2"/>
  <c r="BT10" i="2"/>
  <c r="BQ10" i="2"/>
  <c r="BQ23" i="2"/>
  <c r="BT23" i="2"/>
  <c r="BT35" i="2"/>
  <c r="BQ35" i="2"/>
  <c r="K41" i="2" l="1"/>
  <c r="AL41" i="2" s="1"/>
  <c r="I42" i="2"/>
  <c r="K42" i="2" s="1"/>
  <c r="BK42" i="2"/>
  <c r="BN41" i="2"/>
  <c r="Q52" i="4"/>
  <c r="R52" i="4" s="1"/>
  <c r="P40" i="2"/>
  <c r="R40" i="2" s="1"/>
  <c r="AA37" i="2"/>
  <c r="V38" i="2"/>
  <c r="BC39" i="2"/>
  <c r="AP39" i="2"/>
  <c r="U39" i="2"/>
  <c r="BB41" i="2" l="1"/>
  <c r="F43" i="2"/>
  <c r="H43" i="2" s="1"/>
  <c r="J43" i="2" s="1"/>
  <c r="M41" i="2"/>
  <c r="BT41" i="2"/>
  <c r="BQ41" i="2"/>
  <c r="BN42" i="2"/>
  <c r="L53" i="4"/>
  <c r="L53" i="5"/>
  <c r="M42" i="2"/>
  <c r="AL42" i="2"/>
  <c r="BB42" i="2"/>
  <c r="X38" i="2"/>
  <c r="Z38" i="2" s="1"/>
  <c r="BD37" i="2"/>
  <c r="AT37" i="2"/>
  <c r="AC37" i="2"/>
  <c r="Q40" i="2"/>
  <c r="BL7" i="2"/>
  <c r="BL8" i="2"/>
  <c r="BL5" i="2"/>
  <c r="BL6" i="2"/>
  <c r="BL9" i="2"/>
  <c r="BL10" i="2"/>
  <c r="BL12" i="2"/>
  <c r="BL11" i="2"/>
  <c r="BL13" i="2"/>
  <c r="BL14" i="2"/>
  <c r="BL15" i="2"/>
  <c r="BL17" i="2"/>
  <c r="BL16" i="2"/>
  <c r="BL18" i="2"/>
  <c r="BL19" i="2"/>
  <c r="BL20" i="2"/>
  <c r="BL21" i="2"/>
  <c r="BL22" i="2"/>
  <c r="BO22" i="2" s="1"/>
  <c r="BL23" i="2"/>
  <c r="BL24" i="2"/>
  <c r="BL25" i="2"/>
  <c r="BL26" i="2"/>
  <c r="BL27" i="2"/>
  <c r="BL28" i="2"/>
  <c r="BL29" i="2"/>
  <c r="BL31" i="2"/>
  <c r="BL30" i="2"/>
  <c r="BL32" i="2"/>
  <c r="BL33" i="2"/>
  <c r="BL34" i="2"/>
  <c r="BL35" i="2"/>
  <c r="BL36" i="2"/>
  <c r="BL39" i="2"/>
  <c r="BL38" i="2"/>
  <c r="BO38" i="2" s="1"/>
  <c r="BL37" i="2"/>
  <c r="BL40" i="2"/>
  <c r="I43" i="2" l="1"/>
  <c r="BK43" i="2"/>
  <c r="BN43" i="2" s="1"/>
  <c r="BT43" i="2" s="1"/>
  <c r="BT42" i="2"/>
  <c r="BQ42" i="2"/>
  <c r="K53" i="5"/>
  <c r="K54" i="5" s="1"/>
  <c r="L54" i="5"/>
  <c r="L54" i="4"/>
  <c r="K53" i="4"/>
  <c r="G53" i="4"/>
  <c r="G53" i="5"/>
  <c r="BO36" i="2"/>
  <c r="BO32" i="2"/>
  <c r="BO28" i="2"/>
  <c r="BO24" i="2"/>
  <c r="BO20" i="2"/>
  <c r="BO17" i="2"/>
  <c r="BO11" i="2"/>
  <c r="BO6" i="2"/>
  <c r="N41" i="2"/>
  <c r="P41" i="2" s="1"/>
  <c r="R41" i="2" s="1"/>
  <c r="S40" i="2"/>
  <c r="BO33" i="2"/>
  <c r="BO37" i="2"/>
  <c r="BO35" i="2"/>
  <c r="BO30" i="2"/>
  <c r="BO27" i="2"/>
  <c r="BO23" i="2"/>
  <c r="BO19" i="2"/>
  <c r="BO15" i="2"/>
  <c r="BO12" i="2"/>
  <c r="BO5" i="2"/>
  <c r="BR38" i="2"/>
  <c r="BU38" i="2"/>
  <c r="BO34" i="2"/>
  <c r="BO31" i="2"/>
  <c r="BO26" i="2"/>
  <c r="BU22" i="2"/>
  <c r="BR22" i="2"/>
  <c r="BO18" i="2"/>
  <c r="BO14" i="2"/>
  <c r="BO10" i="2"/>
  <c r="BO8" i="2"/>
  <c r="BO40" i="2"/>
  <c r="BO39" i="2"/>
  <c r="BO29" i="2"/>
  <c r="BO25" i="2"/>
  <c r="BO21" i="2"/>
  <c r="BO16" i="2"/>
  <c r="BO13" i="2"/>
  <c r="BO9" i="2"/>
  <c r="BO7" i="2"/>
  <c r="Y38" i="2"/>
  <c r="BQ43" i="2" l="1"/>
  <c r="K43" i="2"/>
  <c r="F44" i="2"/>
  <c r="H44" i="2" s="1"/>
  <c r="J44" i="2" s="1"/>
  <c r="N53" i="5"/>
  <c r="N54" i="5" s="1"/>
  <c r="M53" i="5"/>
  <c r="M54" i="5" s="1"/>
  <c r="Q41" i="2"/>
  <c r="S41" i="2" s="1"/>
  <c r="BL41" i="2"/>
  <c r="M53" i="4"/>
  <c r="K54" i="4"/>
  <c r="N53" i="4"/>
  <c r="N54" i="4" s="1"/>
  <c r="BU16" i="2"/>
  <c r="BR16" i="2"/>
  <c r="BR14" i="2"/>
  <c r="BU14" i="2"/>
  <c r="BU31" i="2"/>
  <c r="BR31" i="2"/>
  <c r="BR11" i="2"/>
  <c r="BU11" i="2"/>
  <c r="BR20" i="2"/>
  <c r="BU20" i="2"/>
  <c r="BU28" i="2"/>
  <c r="BR28" i="2"/>
  <c r="BU25" i="2"/>
  <c r="BR25" i="2"/>
  <c r="BU39" i="2"/>
  <c r="BG39" i="2" s="1"/>
  <c r="BR39" i="2"/>
  <c r="BR10" i="2"/>
  <c r="BU10" i="2"/>
  <c r="BU18" i="2"/>
  <c r="BR18" i="2"/>
  <c r="BU26" i="2"/>
  <c r="BR26" i="2"/>
  <c r="BU5" i="2"/>
  <c r="BG5" i="2" s="1"/>
  <c r="BR5" i="2"/>
  <c r="BR15" i="2"/>
  <c r="BU15" i="2"/>
  <c r="BU23" i="2"/>
  <c r="BG23" i="2" s="1"/>
  <c r="BR23" i="2"/>
  <c r="BR30" i="2"/>
  <c r="BU30" i="2"/>
  <c r="BR37" i="2"/>
  <c r="BU37" i="2"/>
  <c r="BG38" i="2" s="1"/>
  <c r="BR6" i="2"/>
  <c r="BU6" i="2"/>
  <c r="BR17" i="2"/>
  <c r="BU17" i="2"/>
  <c r="BU32" i="2"/>
  <c r="BR32" i="2"/>
  <c r="BR9" i="2"/>
  <c r="BU9" i="2"/>
  <c r="BR8" i="2"/>
  <c r="BU8" i="2"/>
  <c r="BZ6" i="2"/>
  <c r="V39" i="2"/>
  <c r="AA38" i="2"/>
  <c r="BR13" i="2"/>
  <c r="BU13" i="2"/>
  <c r="BR40" i="2"/>
  <c r="BU40" i="2"/>
  <c r="BR34" i="2"/>
  <c r="BU34" i="2"/>
  <c r="BR19" i="2"/>
  <c r="BU19" i="2"/>
  <c r="BU24" i="2"/>
  <c r="BR24" i="2"/>
  <c r="BU7" i="2"/>
  <c r="BR7" i="2"/>
  <c r="BU21" i="2"/>
  <c r="BR21" i="2"/>
  <c r="BR29" i="2"/>
  <c r="BU29" i="2"/>
  <c r="BR12" i="2"/>
  <c r="BU12" i="2"/>
  <c r="BR27" i="2"/>
  <c r="BU27" i="2"/>
  <c r="BR35" i="2"/>
  <c r="BU35" i="2"/>
  <c r="BU33" i="2"/>
  <c r="BR33" i="2"/>
  <c r="BC40" i="2"/>
  <c r="AP40" i="2"/>
  <c r="U40" i="2"/>
  <c r="BR36" i="2"/>
  <c r="BU36" i="2"/>
  <c r="M11" i="5" l="1"/>
  <c r="I44" i="2"/>
  <c r="BK44" i="2"/>
  <c r="BN44" i="2" s="1"/>
  <c r="BT44" i="2" s="1"/>
  <c r="M43" i="2"/>
  <c r="AL43" i="2"/>
  <c r="BB43" i="2"/>
  <c r="BG15" i="2"/>
  <c r="N42" i="2"/>
  <c r="P42" i="2" s="1"/>
  <c r="R42" i="2" s="1"/>
  <c r="BO41" i="2"/>
  <c r="Q53" i="5"/>
  <c r="Q54" i="5" s="1"/>
  <c r="Q9" i="5" s="1"/>
  <c r="Q53" i="4"/>
  <c r="Q54" i="4" s="1"/>
  <c r="Q9" i="4" s="1"/>
  <c r="M11" i="4"/>
  <c r="M12" i="4" s="1"/>
  <c r="M13" i="4" s="1"/>
  <c r="BG26" i="2"/>
  <c r="M54" i="4"/>
  <c r="BG24" i="2"/>
  <c r="BG32" i="2"/>
  <c r="BG29" i="2"/>
  <c r="BG17" i="2"/>
  <c r="BG19" i="2"/>
  <c r="BG40" i="2"/>
  <c r="BG6" i="2"/>
  <c r="BG27" i="2"/>
  <c r="BG33" i="2"/>
  <c r="BG21" i="2"/>
  <c r="BG35" i="2"/>
  <c r="BG12" i="2"/>
  <c r="BG7" i="2"/>
  <c r="BG36" i="2"/>
  <c r="BG34" i="2"/>
  <c r="BG13" i="2"/>
  <c r="AT38" i="2"/>
  <c r="BD38" i="2"/>
  <c r="AC38" i="2"/>
  <c r="BG25" i="2"/>
  <c r="BG14" i="2"/>
  <c r="X39" i="2"/>
  <c r="Z39" i="2" s="1"/>
  <c r="BG9" i="2"/>
  <c r="BG37" i="2"/>
  <c r="BG11" i="2"/>
  <c r="BG18" i="2"/>
  <c r="BG28" i="2"/>
  <c r="BG31" i="2"/>
  <c r="BG8" i="2"/>
  <c r="BG30" i="2"/>
  <c r="BG10" i="2"/>
  <c r="BG20" i="2"/>
  <c r="AP41" i="2"/>
  <c r="BC41" i="2"/>
  <c r="U41" i="2"/>
  <c r="BG22" i="2"/>
  <c r="BG16" i="2"/>
  <c r="M12" i="5" l="1"/>
  <c r="M13" i="5" s="1"/>
  <c r="BQ44" i="2"/>
  <c r="F45" i="2"/>
  <c r="H45" i="2" s="1"/>
  <c r="K44" i="2"/>
  <c r="R53" i="4"/>
  <c r="R54" i="4" s="1"/>
  <c r="R55" i="4" s="1"/>
  <c r="R56" i="4" s="1"/>
  <c r="J12" i="4" s="1"/>
  <c r="R53" i="5"/>
  <c r="R54" i="5" s="1"/>
  <c r="R55" i="5" s="1"/>
  <c r="Q42" i="2"/>
  <c r="BL42" i="2"/>
  <c r="BU41" i="2"/>
  <c r="BG41" i="2" s="1"/>
  <c r="BR41" i="2"/>
  <c r="BZ8" i="2"/>
  <c r="Y39" i="2"/>
  <c r="R56" i="5" l="1"/>
  <c r="J12" i="5" s="1"/>
  <c r="BB44" i="2"/>
  <c r="M44" i="2"/>
  <c r="AL44" i="2"/>
  <c r="J45" i="2"/>
  <c r="N43" i="2"/>
  <c r="P43" i="2" s="1"/>
  <c r="R43" i="2" s="1"/>
  <c r="S42" i="2"/>
  <c r="BO42" i="2"/>
  <c r="R57" i="4"/>
  <c r="AA39" i="2"/>
  <c r="V40" i="2"/>
  <c r="R57" i="5" l="1"/>
  <c r="I45" i="2"/>
  <c r="BK45" i="2"/>
  <c r="BC42" i="2"/>
  <c r="AP42" i="2"/>
  <c r="U42" i="2"/>
  <c r="Q43" i="2"/>
  <c r="BL43" i="2"/>
  <c r="BU42" i="2"/>
  <c r="BG42" i="2" s="1"/>
  <c r="BR42" i="2"/>
  <c r="X40" i="2"/>
  <c r="Z40" i="2" s="1"/>
  <c r="AT39" i="2"/>
  <c r="BD39" i="2"/>
  <c r="AC39" i="2"/>
  <c r="BN45" i="2" l="1"/>
  <c r="K45" i="2"/>
  <c r="F46" i="2"/>
  <c r="H46" i="2" s="1"/>
  <c r="BO43" i="2"/>
  <c r="BM40" i="2"/>
  <c r="BP40" i="2" s="1"/>
  <c r="BV40" i="2" s="1"/>
  <c r="N44" i="2"/>
  <c r="P44" i="2" s="1"/>
  <c r="R44" i="2" s="1"/>
  <c r="S43" i="2"/>
  <c r="BM7" i="2"/>
  <c r="BP7" i="2" s="1"/>
  <c r="BM6" i="2"/>
  <c r="BP6" i="2" s="1"/>
  <c r="BM5" i="2"/>
  <c r="BP5" i="2" s="1"/>
  <c r="BM9" i="2"/>
  <c r="BP9" i="2" s="1"/>
  <c r="BM8" i="2"/>
  <c r="BP8" i="2" s="1"/>
  <c r="BM10" i="2"/>
  <c r="BP10" i="2" s="1"/>
  <c r="BM11" i="2"/>
  <c r="BP11" i="2" s="1"/>
  <c r="BM12" i="2"/>
  <c r="BP12" i="2" s="1"/>
  <c r="BM14" i="2"/>
  <c r="BP14" i="2" s="1"/>
  <c r="BM13" i="2"/>
  <c r="BP13" i="2" s="1"/>
  <c r="BM15" i="2"/>
  <c r="BP15" i="2" s="1"/>
  <c r="BM16" i="2"/>
  <c r="BP16" i="2" s="1"/>
  <c r="BM17" i="2"/>
  <c r="BP17" i="2" s="1"/>
  <c r="BM18" i="2"/>
  <c r="BP18" i="2" s="1"/>
  <c r="BM19" i="2"/>
  <c r="BP19" i="2" s="1"/>
  <c r="BM20" i="2"/>
  <c r="BP20" i="2" s="1"/>
  <c r="BM21" i="2"/>
  <c r="BP21" i="2" s="1"/>
  <c r="BM22" i="2"/>
  <c r="BP22" i="2" s="1"/>
  <c r="BM23" i="2"/>
  <c r="BP23" i="2" s="1"/>
  <c r="BM24" i="2"/>
  <c r="BP24" i="2" s="1"/>
  <c r="BM25" i="2"/>
  <c r="BP25" i="2" s="1"/>
  <c r="BM26" i="2"/>
  <c r="BP26" i="2" s="1"/>
  <c r="BM29" i="2"/>
  <c r="BP29" i="2" s="1"/>
  <c r="BM28" i="2"/>
  <c r="BP28" i="2" s="1"/>
  <c r="BM27" i="2"/>
  <c r="BP27" i="2" s="1"/>
  <c r="BM30" i="2"/>
  <c r="BP30" i="2" s="1"/>
  <c r="BM31" i="2"/>
  <c r="BP31" i="2" s="1"/>
  <c r="BM32" i="2"/>
  <c r="BP32" i="2" s="1"/>
  <c r="BM34" i="2"/>
  <c r="BP34" i="2" s="1"/>
  <c r="BM33" i="2"/>
  <c r="BP33" i="2" s="1"/>
  <c r="BM35" i="2"/>
  <c r="BP35" i="2" s="1"/>
  <c r="BM36" i="2"/>
  <c r="BP36" i="2" s="1"/>
  <c r="Y40" i="2"/>
  <c r="BM39" i="2"/>
  <c r="BP39" i="2" s="1"/>
  <c r="BM38" i="2"/>
  <c r="BP38" i="2" s="1"/>
  <c r="BM37" i="2"/>
  <c r="BP37" i="2" s="1"/>
  <c r="BQ45" i="2" l="1"/>
  <c r="BT45" i="2"/>
  <c r="J46" i="2"/>
  <c r="AL45" i="2"/>
  <c r="M45" i="2"/>
  <c r="BB45" i="2"/>
  <c r="BS40" i="2"/>
  <c r="BC43" i="2"/>
  <c r="AP43" i="2"/>
  <c r="U43" i="2"/>
  <c r="BU43" i="2"/>
  <c r="BG43" i="2" s="1"/>
  <c r="BR43" i="2"/>
  <c r="Q44" i="2"/>
  <c r="N45" i="2" s="1"/>
  <c r="P45" i="2" s="1"/>
  <c r="BL44" i="2"/>
  <c r="BV32" i="2"/>
  <c r="BS32" i="2"/>
  <c r="BS20" i="2"/>
  <c r="BV20" i="2"/>
  <c r="BS38" i="2"/>
  <c r="BV38" i="2"/>
  <c r="BV35" i="2"/>
  <c r="BS35" i="2"/>
  <c r="BS31" i="2"/>
  <c r="BV31" i="2"/>
  <c r="BS29" i="2"/>
  <c r="BV29" i="2"/>
  <c r="BS23" i="2"/>
  <c r="BV23" i="2"/>
  <c r="BS19" i="2"/>
  <c r="BV19" i="2"/>
  <c r="BV15" i="2"/>
  <c r="BS15" i="2"/>
  <c r="BV11" i="2"/>
  <c r="BS11" i="2"/>
  <c r="BV5" i="2"/>
  <c r="BH5" i="2" s="1"/>
  <c r="BS5" i="2"/>
  <c r="BV37" i="2"/>
  <c r="BS37" i="2"/>
  <c r="BV39" i="2"/>
  <c r="BH40" i="2" s="1"/>
  <c r="BS39" i="2"/>
  <c r="BV30" i="2"/>
  <c r="BS30" i="2"/>
  <c r="BS26" i="2"/>
  <c r="BV26" i="2"/>
  <c r="BS22" i="2"/>
  <c r="BV22" i="2"/>
  <c r="BS18" i="2"/>
  <c r="BV18" i="2"/>
  <c r="BV13" i="2"/>
  <c r="BS13" i="2"/>
  <c r="BS10" i="2"/>
  <c r="BV10" i="2"/>
  <c r="BV6" i="2"/>
  <c r="BS6" i="2"/>
  <c r="BV28" i="2"/>
  <c r="BS28" i="2"/>
  <c r="BV33" i="2"/>
  <c r="BS33" i="2"/>
  <c r="V41" i="2"/>
  <c r="X41" i="2" s="1"/>
  <c r="Z41" i="2" s="1"/>
  <c r="AA40" i="2"/>
  <c r="BS34" i="2"/>
  <c r="BV34" i="2"/>
  <c r="BS27" i="2"/>
  <c r="BV27" i="2"/>
  <c r="BV25" i="2"/>
  <c r="BS25" i="2"/>
  <c r="BV21" i="2"/>
  <c r="BS21" i="2"/>
  <c r="BS17" i="2"/>
  <c r="BV17" i="2"/>
  <c r="BS14" i="2"/>
  <c r="BV14" i="2"/>
  <c r="BZ7" i="2"/>
  <c r="BV8" i="2"/>
  <c r="BS8" i="2"/>
  <c r="BV7" i="2"/>
  <c r="BS7" i="2"/>
  <c r="BS36" i="2"/>
  <c r="BV36" i="2"/>
  <c r="BS24" i="2"/>
  <c r="BV24" i="2"/>
  <c r="BV16" i="2"/>
  <c r="BS16" i="2"/>
  <c r="BV12" i="2"/>
  <c r="BS12" i="2"/>
  <c r="BS9" i="2"/>
  <c r="BV9" i="2"/>
  <c r="R45" i="2" l="1"/>
  <c r="BL45" i="2" s="1"/>
  <c r="BO45" i="2" s="1"/>
  <c r="I46" i="2"/>
  <c r="BK46" i="2"/>
  <c r="BH36" i="2"/>
  <c r="BH7" i="2"/>
  <c r="BH14" i="2"/>
  <c r="Y41" i="2"/>
  <c r="V42" i="2" s="1"/>
  <c r="X42" i="2" s="1"/>
  <c r="Z42" i="2" s="1"/>
  <c r="Y42" i="2" s="1"/>
  <c r="BM41" i="2"/>
  <c r="BP41" i="2" s="1"/>
  <c r="BO44" i="2"/>
  <c r="S44" i="2"/>
  <c r="BH21" i="2"/>
  <c r="BH6" i="2"/>
  <c r="BH9" i="2"/>
  <c r="BH16" i="2"/>
  <c r="BH33" i="2"/>
  <c r="BH12" i="2"/>
  <c r="BH27" i="2"/>
  <c r="BH13" i="2"/>
  <c r="BH30" i="2"/>
  <c r="BH11" i="2"/>
  <c r="BH24" i="2"/>
  <c r="BH17" i="2"/>
  <c r="BH34" i="2"/>
  <c r="BH39" i="2"/>
  <c r="BH32" i="2"/>
  <c r="BH8" i="2"/>
  <c r="BH25" i="2"/>
  <c r="BH22" i="2"/>
  <c r="BH19" i="2"/>
  <c r="BH29" i="2"/>
  <c r="BH20" i="2"/>
  <c r="BH37" i="2"/>
  <c r="BH35" i="2"/>
  <c r="BD40" i="2"/>
  <c r="AT40" i="2"/>
  <c r="AC40" i="2"/>
  <c r="BH28" i="2"/>
  <c r="BH10" i="2"/>
  <c r="BH18" i="2"/>
  <c r="BH26" i="2"/>
  <c r="BH23" i="2"/>
  <c r="BH31" i="2"/>
  <c r="BH38" i="2"/>
  <c r="BH15" i="2"/>
  <c r="BN46" i="2" l="1"/>
  <c r="K46" i="2"/>
  <c r="F47" i="2"/>
  <c r="H47" i="2" s="1"/>
  <c r="BR45" i="2"/>
  <c r="BU45" i="2"/>
  <c r="Q45" i="2"/>
  <c r="AA41" i="2"/>
  <c r="AT41" i="2" s="1"/>
  <c r="BM42" i="2"/>
  <c r="BP42" i="2" s="1"/>
  <c r="BS41" i="2"/>
  <c r="BV41" i="2"/>
  <c r="BH41" i="2" s="1"/>
  <c r="BU44" i="2"/>
  <c r="BG44" i="2" s="1"/>
  <c r="BR44" i="2"/>
  <c r="BC44" i="2"/>
  <c r="U44" i="2"/>
  <c r="AP44" i="2"/>
  <c r="BZ9" i="2"/>
  <c r="AE5" i="2"/>
  <c r="AF5" i="2" s="1"/>
  <c r="AE15" i="2"/>
  <c r="AE17" i="2"/>
  <c r="AE13" i="2"/>
  <c r="AE6" i="2"/>
  <c r="AE18" i="2"/>
  <c r="AE12" i="2"/>
  <c r="AE9" i="2"/>
  <c r="AE14" i="2"/>
  <c r="AE8" i="2"/>
  <c r="AE16" i="2"/>
  <c r="AE7" i="2"/>
  <c r="AE11" i="2"/>
  <c r="AE10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A42" i="2"/>
  <c r="V43" i="2"/>
  <c r="X43" i="2" s="1"/>
  <c r="Z43" i="2" s="1"/>
  <c r="J47" i="2" l="1"/>
  <c r="BB46" i="2"/>
  <c r="AL46" i="2"/>
  <c r="M46" i="2"/>
  <c r="Y43" i="2"/>
  <c r="AA43" i="2" s="1"/>
  <c r="N46" i="2"/>
  <c r="P46" i="2" s="1"/>
  <c r="S45" i="2"/>
  <c r="BG45" i="2"/>
  <c r="BQ46" i="2"/>
  <c r="BT46" i="2"/>
  <c r="AC41" i="2"/>
  <c r="BD41" i="2"/>
  <c r="BM43" i="2"/>
  <c r="BP43" i="2" s="1"/>
  <c r="BS43" i="2" s="1"/>
  <c r="BS42" i="2"/>
  <c r="BV42" i="2"/>
  <c r="BH42" i="2" s="1"/>
  <c r="AT42" i="2"/>
  <c r="BD42" i="2"/>
  <c r="AC42" i="2"/>
  <c r="AD6" i="2"/>
  <c r="AF6" i="2" s="1"/>
  <c r="AG5" i="2"/>
  <c r="AH5" i="2" s="1"/>
  <c r="V44" i="2" l="1"/>
  <c r="X44" i="2" s="1"/>
  <c r="Z44" i="2" s="1"/>
  <c r="Y44" i="2" s="1"/>
  <c r="R46" i="2"/>
  <c r="Q46" i="2" s="1"/>
  <c r="BK47" i="2"/>
  <c r="I47" i="2"/>
  <c r="BC45" i="2"/>
  <c r="AP45" i="2"/>
  <c r="U45" i="2"/>
  <c r="BV43" i="2"/>
  <c r="BH43" i="2" s="1"/>
  <c r="BE5" i="2"/>
  <c r="AX5" i="2"/>
  <c r="AD7" i="2"/>
  <c r="AF7" i="2" s="1"/>
  <c r="AG6" i="2"/>
  <c r="AH6" i="2" s="1"/>
  <c r="AT43" i="2"/>
  <c r="BD43" i="2"/>
  <c r="AC43" i="2"/>
  <c r="BL46" i="2" l="1"/>
  <c r="BO46" i="2" s="1"/>
  <c r="BU46" i="2" s="1"/>
  <c r="BG46" i="2" s="1"/>
  <c r="V45" i="2"/>
  <c r="X45" i="2" s="1"/>
  <c r="Z45" i="2" s="1"/>
  <c r="BM45" i="2" s="1"/>
  <c r="BP45" i="2" s="1"/>
  <c r="BS45" i="2" s="1"/>
  <c r="AA44" i="2"/>
  <c r="AT44" i="2" s="1"/>
  <c r="BM44" i="2"/>
  <c r="BP44" i="2" s="1"/>
  <c r="BS44" i="2" s="1"/>
  <c r="BN47" i="2"/>
  <c r="S46" i="2"/>
  <c r="N47" i="2"/>
  <c r="P47" i="2" s="1"/>
  <c r="F48" i="2"/>
  <c r="H48" i="2" s="1"/>
  <c r="K47" i="2"/>
  <c r="AX6" i="2"/>
  <c r="BE6" i="2"/>
  <c r="AD8" i="2"/>
  <c r="AF8" i="2" s="1"/>
  <c r="AG7" i="2"/>
  <c r="AH7" i="2" s="1"/>
  <c r="BR46" i="2" l="1"/>
  <c r="BV44" i="2"/>
  <c r="BH44" i="2" s="1"/>
  <c r="AC44" i="2"/>
  <c r="BD44" i="2"/>
  <c r="BV45" i="2"/>
  <c r="Y45" i="2"/>
  <c r="V46" i="2" s="1"/>
  <c r="X46" i="2" s="1"/>
  <c r="BC46" i="2"/>
  <c r="AP46" i="2"/>
  <c r="U46" i="2"/>
  <c r="AL47" i="2"/>
  <c r="M47" i="2"/>
  <c r="R47" i="2" s="1"/>
  <c r="BB47" i="2"/>
  <c r="J48" i="2"/>
  <c r="BQ47" i="2"/>
  <c r="BT47" i="2"/>
  <c r="BE7" i="2"/>
  <c r="AX7" i="2"/>
  <c r="AG8" i="2"/>
  <c r="AH8" i="2" s="1"/>
  <c r="AD9" i="2"/>
  <c r="AF9" i="2" s="1"/>
  <c r="BH45" i="2" l="1"/>
  <c r="Z46" i="2"/>
  <c r="Y46" i="2" s="1"/>
  <c r="AA45" i="2"/>
  <c r="BD45" i="2" s="1"/>
  <c r="Q47" i="2"/>
  <c r="I48" i="2"/>
  <c r="BK48" i="2"/>
  <c r="BL47" i="2"/>
  <c r="BO47" i="2" s="1"/>
  <c r="AX8" i="2"/>
  <c r="BE8" i="2"/>
  <c r="AD10" i="2"/>
  <c r="AF10" i="2" s="1"/>
  <c r="AG9" i="2"/>
  <c r="AH9" i="2" s="1"/>
  <c r="AC45" i="2" l="1"/>
  <c r="BM46" i="2"/>
  <c r="BP46" i="2" s="1"/>
  <c r="BS46" i="2" s="1"/>
  <c r="AT45" i="2"/>
  <c r="BN48" i="2"/>
  <c r="N48" i="2"/>
  <c r="P48" i="2" s="1"/>
  <c r="S47" i="2"/>
  <c r="BR47" i="2"/>
  <c r="BU47" i="2"/>
  <c r="BG47" i="2" s="1"/>
  <c r="K48" i="2"/>
  <c r="F49" i="2"/>
  <c r="H49" i="2" s="1"/>
  <c r="AA46" i="2"/>
  <c r="V47" i="2"/>
  <c r="X47" i="2" s="1"/>
  <c r="AG10" i="2"/>
  <c r="AH10" i="2" s="1"/>
  <c r="AD11" i="2"/>
  <c r="AF11" i="2" s="1"/>
  <c r="BE9" i="2"/>
  <c r="AX9" i="2"/>
  <c r="BV46" i="2" l="1"/>
  <c r="BH46" i="2" s="1"/>
  <c r="M48" i="2"/>
  <c r="R48" i="2" s="1"/>
  <c r="BB48" i="2"/>
  <c r="AL48" i="2"/>
  <c r="BC47" i="2"/>
  <c r="AP47" i="2"/>
  <c r="U47" i="2"/>
  <c r="AT46" i="2"/>
  <c r="BD46" i="2"/>
  <c r="AC46" i="2"/>
  <c r="J49" i="2"/>
  <c r="BT48" i="2"/>
  <c r="BQ48" i="2"/>
  <c r="AD12" i="2"/>
  <c r="AF12" i="2" s="1"/>
  <c r="AG11" i="2"/>
  <c r="AH11" i="2" s="1"/>
  <c r="BD66" i="2"/>
  <c r="AT4" i="2" s="1"/>
  <c r="AX10" i="2"/>
  <c r="BE10" i="2"/>
  <c r="I49" i="2" l="1"/>
  <c r="BK49" i="2"/>
  <c r="Z47" i="2"/>
  <c r="Q48" i="2"/>
  <c r="BL48" i="2"/>
  <c r="BO48" i="2" s="1"/>
  <c r="AT66" i="2"/>
  <c r="BE11" i="2"/>
  <c r="AX11" i="2"/>
  <c r="AD13" i="2"/>
  <c r="AF13" i="2" s="1"/>
  <c r="AG12" i="2"/>
  <c r="AH12" i="2" s="1"/>
  <c r="S48" i="2" l="1"/>
  <c r="N49" i="2"/>
  <c r="P49" i="2" s="1"/>
  <c r="F50" i="2"/>
  <c r="H50" i="2" s="1"/>
  <c r="J50" i="2" s="1"/>
  <c r="K49" i="2"/>
  <c r="BM47" i="2"/>
  <c r="BP47" i="2" s="1"/>
  <c r="BR48" i="2"/>
  <c r="BU48" i="2"/>
  <c r="BG48" i="2" s="1"/>
  <c r="BN49" i="2"/>
  <c r="Y47" i="2"/>
  <c r="AU41" i="2"/>
  <c r="AV41" i="2" s="1"/>
  <c r="AU45" i="2"/>
  <c r="AV45" i="2" s="1"/>
  <c r="AU46" i="2"/>
  <c r="AV46" i="2" s="1"/>
  <c r="AU44" i="2"/>
  <c r="AV44" i="2" s="1"/>
  <c r="AU39" i="2"/>
  <c r="AV39" i="2" s="1"/>
  <c r="AU35" i="2"/>
  <c r="AV35" i="2" s="1"/>
  <c r="AU31" i="2"/>
  <c r="AV31" i="2" s="1"/>
  <c r="AU27" i="2"/>
  <c r="AV27" i="2" s="1"/>
  <c r="AU23" i="2"/>
  <c r="AV23" i="2" s="1"/>
  <c r="AU7" i="2"/>
  <c r="AV7" i="2" s="1"/>
  <c r="AU16" i="2"/>
  <c r="AV16" i="2" s="1"/>
  <c r="AU19" i="2"/>
  <c r="AV19" i="2" s="1"/>
  <c r="AU13" i="2"/>
  <c r="AV13" i="2" s="1"/>
  <c r="AU43" i="2"/>
  <c r="AV43" i="2" s="1"/>
  <c r="AU38" i="2"/>
  <c r="AV38" i="2" s="1"/>
  <c r="AU34" i="2"/>
  <c r="AV34" i="2" s="1"/>
  <c r="AU30" i="2"/>
  <c r="AV30" i="2" s="1"/>
  <c r="AU26" i="2"/>
  <c r="AV26" i="2" s="1"/>
  <c r="AU22" i="2"/>
  <c r="AV22" i="2" s="1"/>
  <c r="AU21" i="2"/>
  <c r="AV21" i="2" s="1"/>
  <c r="AU9" i="2"/>
  <c r="AV9" i="2" s="1"/>
  <c r="AU8" i="2"/>
  <c r="AV8" i="2" s="1"/>
  <c r="AU14" i="2"/>
  <c r="AV14" i="2" s="1"/>
  <c r="AU42" i="2"/>
  <c r="AV42" i="2" s="1"/>
  <c r="AU37" i="2"/>
  <c r="AV37" i="2" s="1"/>
  <c r="AU33" i="2"/>
  <c r="AV33" i="2" s="1"/>
  <c r="AU29" i="2"/>
  <c r="AV29" i="2" s="1"/>
  <c r="AU25" i="2"/>
  <c r="AV25" i="2" s="1"/>
  <c r="AU15" i="2"/>
  <c r="AV15" i="2" s="1"/>
  <c r="AU10" i="2"/>
  <c r="AV10" i="2" s="1"/>
  <c r="AU11" i="2"/>
  <c r="AV11" i="2" s="1"/>
  <c r="AU17" i="2"/>
  <c r="AV17" i="2" s="1"/>
  <c r="AU18" i="2"/>
  <c r="AV18" i="2" s="1"/>
  <c r="AU40" i="2"/>
  <c r="AV40" i="2" s="1"/>
  <c r="AU36" i="2"/>
  <c r="AV36" i="2" s="1"/>
  <c r="AU32" i="2"/>
  <c r="AV32" i="2" s="1"/>
  <c r="AU28" i="2"/>
  <c r="AV28" i="2" s="1"/>
  <c r="AU24" i="2"/>
  <c r="AV24" i="2" s="1"/>
  <c r="AU12" i="2"/>
  <c r="AV12" i="2" s="1"/>
  <c r="AU6" i="2"/>
  <c r="AV6" i="2" s="1"/>
  <c r="AU20" i="2"/>
  <c r="AV20" i="2" s="1"/>
  <c r="AU5" i="2"/>
  <c r="AV5" i="2" s="1"/>
  <c r="AG13" i="2"/>
  <c r="AH13" i="2" s="1"/>
  <c r="AD14" i="2"/>
  <c r="AF14" i="2" s="1"/>
  <c r="BE12" i="2"/>
  <c r="AX12" i="2"/>
  <c r="BQ49" i="2" l="1"/>
  <c r="BT49" i="2"/>
  <c r="BS47" i="2"/>
  <c r="BV47" i="2"/>
  <c r="BH47" i="2" s="1"/>
  <c r="AA47" i="2"/>
  <c r="V48" i="2"/>
  <c r="X48" i="2" s="1"/>
  <c r="AL49" i="2"/>
  <c r="BB49" i="2"/>
  <c r="M49" i="2"/>
  <c r="AP48" i="2"/>
  <c r="BC48" i="2"/>
  <c r="U48" i="2"/>
  <c r="I50" i="2"/>
  <c r="BK50" i="2"/>
  <c r="AV66" i="2"/>
  <c r="AV67" i="2" s="1"/>
  <c r="AV68" i="2" s="1"/>
  <c r="AU66" i="2"/>
  <c r="AG14" i="2"/>
  <c r="AH14" i="2" s="1"/>
  <c r="AD15" i="2"/>
  <c r="AF15" i="2" s="1"/>
  <c r="BE13" i="2"/>
  <c r="AX13" i="2"/>
  <c r="BD47" i="2" l="1"/>
  <c r="AT47" i="2"/>
  <c r="AU47" i="2" s="1"/>
  <c r="AV47" i="2" s="1"/>
  <c r="AC47" i="2"/>
  <c r="Z48" i="2"/>
  <c r="BN50" i="2"/>
  <c r="K50" i="2"/>
  <c r="F51" i="2"/>
  <c r="H51" i="2" s="1"/>
  <c r="J51" i="2" s="1"/>
  <c r="R49" i="2"/>
  <c r="Q49" i="2" s="1"/>
  <c r="AD16" i="2"/>
  <c r="AF16" i="2" s="1"/>
  <c r="AG15" i="2"/>
  <c r="AH15" i="2" s="1"/>
  <c r="AX14" i="2"/>
  <c r="BE14" i="2"/>
  <c r="I51" i="2" l="1"/>
  <c r="BK51" i="2"/>
  <c r="N50" i="2"/>
  <c r="P50" i="2" s="1"/>
  <c r="S49" i="2"/>
  <c r="BB50" i="2"/>
  <c r="AL50" i="2"/>
  <c r="M50" i="2"/>
  <c r="Y48" i="2"/>
  <c r="BM48" i="2"/>
  <c r="BP48" i="2" s="1"/>
  <c r="BL49" i="2"/>
  <c r="BO49" i="2" s="1"/>
  <c r="BQ50" i="2"/>
  <c r="BT50" i="2"/>
  <c r="AX15" i="2"/>
  <c r="BE15" i="2"/>
  <c r="AD17" i="2"/>
  <c r="AF17" i="2" s="1"/>
  <c r="AG16" i="2"/>
  <c r="AH16" i="2" s="1"/>
  <c r="AP49" i="2" l="1"/>
  <c r="BC49" i="2"/>
  <c r="U49" i="2"/>
  <c r="R50" i="2"/>
  <c r="BR49" i="2"/>
  <c r="BU49" i="2"/>
  <c r="BG49" i="2" s="1"/>
  <c r="BV48" i="2"/>
  <c r="BH48" i="2" s="1"/>
  <c r="BS48" i="2"/>
  <c r="BN51" i="2"/>
  <c r="AA48" i="2"/>
  <c r="V49" i="2"/>
  <c r="X49" i="2" s="1"/>
  <c r="K51" i="2"/>
  <c r="F52" i="2"/>
  <c r="H52" i="2" s="1"/>
  <c r="J52" i="2" s="1"/>
  <c r="AD18" i="2"/>
  <c r="AF18" i="2" s="1"/>
  <c r="AG17" i="2"/>
  <c r="AH17" i="2" s="1"/>
  <c r="BE16" i="2"/>
  <c r="AX16" i="2"/>
  <c r="Z49" i="2" l="1"/>
  <c r="I52" i="2"/>
  <c r="BK52" i="2"/>
  <c r="BD48" i="2"/>
  <c r="AT48" i="2"/>
  <c r="AU48" i="2" s="1"/>
  <c r="AV48" i="2" s="1"/>
  <c r="AC48" i="2"/>
  <c r="Q50" i="2"/>
  <c r="BL50" i="2"/>
  <c r="BO50" i="2" s="1"/>
  <c r="M51" i="2"/>
  <c r="BB51" i="2"/>
  <c r="AL51" i="2"/>
  <c r="BQ51" i="2"/>
  <c r="BT51" i="2"/>
  <c r="AX17" i="2"/>
  <c r="BE17" i="2"/>
  <c r="AG18" i="2"/>
  <c r="AH18" i="2" s="1"/>
  <c r="AD19" i="2"/>
  <c r="AF19" i="2" s="1"/>
  <c r="S50" i="2" l="1"/>
  <c r="N51" i="2"/>
  <c r="P51" i="2" s="1"/>
  <c r="BM49" i="2"/>
  <c r="BP49" i="2" s="1"/>
  <c r="BN52" i="2"/>
  <c r="K52" i="2"/>
  <c r="F53" i="2"/>
  <c r="H53" i="2" s="1"/>
  <c r="J53" i="2" s="1"/>
  <c r="Y49" i="2"/>
  <c r="BR50" i="2"/>
  <c r="BU50" i="2"/>
  <c r="BG50" i="2" s="1"/>
  <c r="AD20" i="2"/>
  <c r="AF20" i="2" s="1"/>
  <c r="AG19" i="2"/>
  <c r="AH19" i="2" s="1"/>
  <c r="BE18" i="2"/>
  <c r="AX18" i="2"/>
  <c r="I53" i="2" l="1"/>
  <c r="BK53" i="2"/>
  <c r="R51" i="2"/>
  <c r="BB52" i="2"/>
  <c r="AL52" i="2"/>
  <c r="M52" i="2"/>
  <c r="BC50" i="2"/>
  <c r="AP50" i="2"/>
  <c r="U50" i="2"/>
  <c r="BS49" i="2"/>
  <c r="BV49" i="2"/>
  <c r="BH49" i="2" s="1"/>
  <c r="V50" i="2"/>
  <c r="X50" i="2" s="1"/>
  <c r="AA49" i="2"/>
  <c r="BT52" i="2"/>
  <c r="BQ52" i="2"/>
  <c r="AX19" i="2"/>
  <c r="BE19" i="2"/>
  <c r="AG20" i="2"/>
  <c r="AH20" i="2" s="1"/>
  <c r="AD21" i="2"/>
  <c r="AF21" i="2" s="1"/>
  <c r="Z50" i="2" l="1"/>
  <c r="BN53" i="2"/>
  <c r="K53" i="2"/>
  <c r="F54" i="2"/>
  <c r="H54" i="2" s="1"/>
  <c r="J54" i="2" s="1"/>
  <c r="BD49" i="2"/>
  <c r="AT49" i="2"/>
  <c r="AU49" i="2" s="1"/>
  <c r="AV49" i="2" s="1"/>
  <c r="AC49" i="2"/>
  <c r="BL51" i="2"/>
  <c r="BO51" i="2" s="1"/>
  <c r="Q51" i="2"/>
  <c r="AX20" i="2"/>
  <c r="BE20" i="2"/>
  <c r="AD22" i="2"/>
  <c r="AF22" i="2" s="1"/>
  <c r="AG21" i="2"/>
  <c r="AH21" i="2" s="1"/>
  <c r="BR51" i="2" l="1"/>
  <c r="BU51" i="2"/>
  <c r="BG51" i="2" s="1"/>
  <c r="S51" i="2"/>
  <c r="N52" i="2"/>
  <c r="P52" i="2" s="1"/>
  <c r="R52" i="2" s="1"/>
  <c r="I54" i="2"/>
  <c r="BK54" i="2"/>
  <c r="BT53" i="2"/>
  <c r="BQ53" i="2"/>
  <c r="M53" i="2"/>
  <c r="BB53" i="2"/>
  <c r="AL53" i="2"/>
  <c r="Y50" i="2"/>
  <c r="BM50" i="2"/>
  <c r="BP50" i="2" s="1"/>
  <c r="AG22" i="2"/>
  <c r="AH22" i="2" s="1"/>
  <c r="AD23" i="2"/>
  <c r="AF23" i="2" s="1"/>
  <c r="BE21" i="2"/>
  <c r="AX21" i="2"/>
  <c r="BN54" i="2" l="1"/>
  <c r="AA50" i="2"/>
  <c r="V51" i="2"/>
  <c r="X51" i="2" s="1"/>
  <c r="Q52" i="2"/>
  <c r="BL52" i="2"/>
  <c r="BO52" i="2" s="1"/>
  <c r="AP51" i="2"/>
  <c r="BC51" i="2"/>
  <c r="U51" i="2"/>
  <c r="BS50" i="2"/>
  <c r="BV50" i="2"/>
  <c r="BH50" i="2" s="1"/>
  <c r="K54" i="2"/>
  <c r="F55" i="2"/>
  <c r="H55" i="2" s="1"/>
  <c r="J55" i="2" s="1"/>
  <c r="AG23" i="2"/>
  <c r="AH23" i="2" s="1"/>
  <c r="AD24" i="2"/>
  <c r="AF24" i="2" s="1"/>
  <c r="AX22" i="2"/>
  <c r="BE22" i="2"/>
  <c r="Z51" i="2" l="1"/>
  <c r="BM51" i="2" s="1"/>
  <c r="BP51" i="2" s="1"/>
  <c r="BR52" i="2"/>
  <c r="BU52" i="2"/>
  <c r="BG52" i="2" s="1"/>
  <c r="BD50" i="2"/>
  <c r="AT50" i="2"/>
  <c r="AU50" i="2" s="1"/>
  <c r="AV50" i="2" s="1"/>
  <c r="AC50" i="2"/>
  <c r="I55" i="2"/>
  <c r="BK55" i="2"/>
  <c r="S52" i="2"/>
  <c r="N53" i="2"/>
  <c r="P53" i="2" s="1"/>
  <c r="R53" i="2" s="1"/>
  <c r="BB54" i="2"/>
  <c r="AL54" i="2"/>
  <c r="M54" i="2"/>
  <c r="BQ54" i="2"/>
  <c r="BT54" i="2"/>
  <c r="AD25" i="2"/>
  <c r="AF25" i="2" s="1"/>
  <c r="AG24" i="2"/>
  <c r="AH24" i="2" s="1"/>
  <c r="AX23" i="2"/>
  <c r="BE23" i="2"/>
  <c r="Y51" i="2" l="1"/>
  <c r="V52" i="2" s="1"/>
  <c r="X52" i="2" s="1"/>
  <c r="BN55" i="2"/>
  <c r="K55" i="2"/>
  <c r="F56" i="2"/>
  <c r="H56" i="2" s="1"/>
  <c r="J56" i="2" s="1"/>
  <c r="BL53" i="2"/>
  <c r="BO53" i="2" s="1"/>
  <c r="Q53" i="2"/>
  <c r="AP52" i="2"/>
  <c r="BC52" i="2"/>
  <c r="U52" i="2"/>
  <c r="BV51" i="2"/>
  <c r="BH51" i="2" s="1"/>
  <c r="BS51" i="2"/>
  <c r="AX24" i="2"/>
  <c r="BE24" i="2"/>
  <c r="AD26" i="2"/>
  <c r="AF26" i="2" s="1"/>
  <c r="AG25" i="2"/>
  <c r="AH25" i="2" s="1"/>
  <c r="Z52" i="2" l="1"/>
  <c r="Y52" i="2" s="1"/>
  <c r="AA51" i="2"/>
  <c r="BD51" i="2" s="1"/>
  <c r="BR53" i="2"/>
  <c r="BU53" i="2"/>
  <c r="BG53" i="2" s="1"/>
  <c r="BT55" i="2"/>
  <c r="BQ55" i="2"/>
  <c r="I56" i="2"/>
  <c r="BK56" i="2"/>
  <c r="N54" i="2"/>
  <c r="P54" i="2" s="1"/>
  <c r="R54" i="2" s="1"/>
  <c r="S53" i="2"/>
  <c r="BB55" i="2"/>
  <c r="AL55" i="2"/>
  <c r="M55" i="2"/>
  <c r="AD27" i="2"/>
  <c r="AF27" i="2" s="1"/>
  <c r="AG26" i="2"/>
  <c r="AH26" i="2" s="1"/>
  <c r="AX25" i="2"/>
  <c r="BE25" i="2"/>
  <c r="BM52" i="2" l="1"/>
  <c r="BP52" i="2" s="1"/>
  <c r="BS52" i="2" s="1"/>
  <c r="AC51" i="2"/>
  <c r="AT51" i="2"/>
  <c r="AU51" i="2" s="1"/>
  <c r="AV51" i="2" s="1"/>
  <c r="AP53" i="2"/>
  <c r="BC53" i="2"/>
  <c r="U53" i="2"/>
  <c r="BN56" i="2"/>
  <c r="AA52" i="2"/>
  <c r="V53" i="2"/>
  <c r="X53" i="2" s="1"/>
  <c r="K56" i="2"/>
  <c r="F57" i="2"/>
  <c r="H57" i="2" s="1"/>
  <c r="J57" i="2" s="1"/>
  <c r="Q54" i="2"/>
  <c r="BL54" i="2"/>
  <c r="BO54" i="2" s="1"/>
  <c r="AD28" i="2"/>
  <c r="AF28" i="2" s="1"/>
  <c r="AG27" i="2"/>
  <c r="AH27" i="2" s="1"/>
  <c r="AX26" i="2"/>
  <c r="BE26" i="2"/>
  <c r="BV52" i="2" l="1"/>
  <c r="BH52" i="2" s="1"/>
  <c r="Z53" i="2"/>
  <c r="BM53" i="2" s="1"/>
  <c r="BP53" i="2" s="1"/>
  <c r="BS53" i="2" s="1"/>
  <c r="I57" i="2"/>
  <c r="BK57" i="2"/>
  <c r="BR54" i="2"/>
  <c r="BU54" i="2"/>
  <c r="BG54" i="2" s="1"/>
  <c r="S54" i="2"/>
  <c r="N55" i="2"/>
  <c r="P55" i="2" s="1"/>
  <c r="R55" i="2" s="1"/>
  <c r="BD52" i="2"/>
  <c r="AT52" i="2"/>
  <c r="AU52" i="2" s="1"/>
  <c r="AV52" i="2" s="1"/>
  <c r="AC52" i="2"/>
  <c r="BT56" i="2"/>
  <c r="BQ56" i="2"/>
  <c r="BB56" i="2"/>
  <c r="M56" i="2"/>
  <c r="AL56" i="2"/>
  <c r="BE27" i="2"/>
  <c r="AX27" i="2"/>
  <c r="AD29" i="2"/>
  <c r="AF29" i="2" s="1"/>
  <c r="AG28" i="2"/>
  <c r="AH28" i="2" s="1"/>
  <c r="Y53" i="2" l="1"/>
  <c r="V54" i="2" s="1"/>
  <c r="X54" i="2" s="1"/>
  <c r="BV53" i="2"/>
  <c r="BH53" i="2" s="1"/>
  <c r="BL55" i="2"/>
  <c r="BO55" i="2" s="1"/>
  <c r="Q55" i="2"/>
  <c r="AP54" i="2"/>
  <c r="BC54" i="2"/>
  <c r="U54" i="2"/>
  <c r="BN57" i="2"/>
  <c r="K57" i="2"/>
  <c r="F58" i="2"/>
  <c r="H58" i="2" s="1"/>
  <c r="J58" i="2" s="1"/>
  <c r="BE28" i="2"/>
  <c r="AX28" i="2"/>
  <c r="AD30" i="2"/>
  <c r="AF30" i="2" s="1"/>
  <c r="AG29" i="2"/>
  <c r="AH29" i="2" s="1"/>
  <c r="Z54" i="2" l="1"/>
  <c r="Y54" i="2" s="1"/>
  <c r="AA53" i="2"/>
  <c r="BD53" i="2" s="1"/>
  <c r="I58" i="2"/>
  <c r="BK58" i="2"/>
  <c r="BQ57" i="2"/>
  <c r="BT57" i="2"/>
  <c r="S55" i="2"/>
  <c r="N56" i="2"/>
  <c r="P56" i="2" s="1"/>
  <c r="R56" i="2" s="1"/>
  <c r="BR55" i="2"/>
  <c r="BU55" i="2"/>
  <c r="BG55" i="2" s="1"/>
  <c r="BB57" i="2"/>
  <c r="AL57" i="2"/>
  <c r="M57" i="2"/>
  <c r="BE29" i="2"/>
  <c r="AX29" i="2"/>
  <c r="AD31" i="2"/>
  <c r="AF31" i="2" s="1"/>
  <c r="AG30" i="2"/>
  <c r="AH30" i="2" s="1"/>
  <c r="BM54" i="2" l="1"/>
  <c r="BP54" i="2" s="1"/>
  <c r="BV54" i="2" s="1"/>
  <c r="BH54" i="2" s="1"/>
  <c r="AC53" i="2"/>
  <c r="AT53" i="2"/>
  <c r="AU53" i="2" s="1"/>
  <c r="AV53" i="2" s="1"/>
  <c r="AA54" i="2"/>
  <c r="V55" i="2"/>
  <c r="X55" i="2" s="1"/>
  <c r="Q56" i="2"/>
  <c r="BL56" i="2"/>
  <c r="BO56" i="2" s="1"/>
  <c r="BN58" i="2"/>
  <c r="BC55" i="2"/>
  <c r="AP55" i="2"/>
  <c r="U55" i="2"/>
  <c r="K58" i="2"/>
  <c r="F59" i="2"/>
  <c r="H59" i="2" s="1"/>
  <c r="J59" i="2" s="1"/>
  <c r="BE30" i="2"/>
  <c r="AX30" i="2"/>
  <c r="AD32" i="2"/>
  <c r="AG31" i="2"/>
  <c r="AH31" i="2" s="1"/>
  <c r="BS54" i="2" l="1"/>
  <c r="BR56" i="2"/>
  <c r="BU56" i="2"/>
  <c r="BG56" i="2" s="1"/>
  <c r="S56" i="2"/>
  <c r="N57" i="2"/>
  <c r="P57" i="2" s="1"/>
  <c r="R57" i="2" s="1"/>
  <c r="BK59" i="2"/>
  <c r="I59" i="2"/>
  <c r="Z55" i="2"/>
  <c r="BM55" i="2" s="1"/>
  <c r="BP55" i="2" s="1"/>
  <c r="BB58" i="2"/>
  <c r="AL58" i="2"/>
  <c r="M58" i="2"/>
  <c r="BQ58" i="2"/>
  <c r="BT58" i="2"/>
  <c r="BD54" i="2"/>
  <c r="AT54" i="2"/>
  <c r="AU54" i="2" s="1"/>
  <c r="AV54" i="2" s="1"/>
  <c r="AC54" i="2"/>
  <c r="BE31" i="2"/>
  <c r="AX31" i="2"/>
  <c r="BN59" i="2" l="1"/>
  <c r="BL57" i="2"/>
  <c r="BO57" i="2" s="1"/>
  <c r="Q57" i="2"/>
  <c r="BS55" i="2"/>
  <c r="BV55" i="2"/>
  <c r="BH55" i="2" s="1"/>
  <c r="AP56" i="2"/>
  <c r="BC56" i="2"/>
  <c r="U56" i="2"/>
  <c r="K59" i="2"/>
  <c r="F60" i="2"/>
  <c r="H60" i="2" s="1"/>
  <c r="J60" i="2" s="1"/>
  <c r="Y55" i="2"/>
  <c r="I60" i="2" l="1"/>
  <c r="BK60" i="2"/>
  <c r="AL59" i="2"/>
  <c r="M59" i="2"/>
  <c r="BB59" i="2"/>
  <c r="S57" i="2"/>
  <c r="N58" i="2"/>
  <c r="P58" i="2" s="1"/>
  <c r="R58" i="2" s="1"/>
  <c r="BR57" i="2"/>
  <c r="BU57" i="2"/>
  <c r="BG57" i="2" s="1"/>
  <c r="V56" i="2"/>
  <c r="X56" i="2" s="1"/>
  <c r="Z56" i="2" s="1"/>
  <c r="AA55" i="2"/>
  <c r="BT59" i="2"/>
  <c r="BQ59" i="2"/>
  <c r="AT55" i="2" l="1"/>
  <c r="AU55" i="2" s="1"/>
  <c r="AV55" i="2" s="1"/>
  <c r="BD55" i="2"/>
  <c r="AC55" i="2"/>
  <c r="Y56" i="2"/>
  <c r="BM56" i="2"/>
  <c r="BP56" i="2" s="1"/>
  <c r="BC57" i="2"/>
  <c r="AP57" i="2"/>
  <c r="U57" i="2"/>
  <c r="Q58" i="2"/>
  <c r="BL58" i="2"/>
  <c r="BO58" i="2" s="1"/>
  <c r="BN60" i="2"/>
  <c r="K60" i="2"/>
  <c r="F61" i="2"/>
  <c r="H61" i="2" s="1"/>
  <c r="J61" i="2" s="1"/>
  <c r="BQ60" i="2" l="1"/>
  <c r="BT60" i="2"/>
  <c r="BB60" i="2"/>
  <c r="AL60" i="2"/>
  <c r="M60" i="2"/>
  <c r="AA56" i="2"/>
  <c r="V57" i="2"/>
  <c r="X57" i="2" s="1"/>
  <c r="Z57" i="2" s="1"/>
  <c r="BM57" i="2" s="1"/>
  <c r="BP57" i="2" s="1"/>
  <c r="BR58" i="2"/>
  <c r="BU58" i="2"/>
  <c r="BG58" i="2" s="1"/>
  <c r="S58" i="2"/>
  <c r="N59" i="2"/>
  <c r="P59" i="2" s="1"/>
  <c r="R59" i="2" s="1"/>
  <c r="I61" i="2"/>
  <c r="BK61" i="2"/>
  <c r="BV56" i="2"/>
  <c r="BH56" i="2" s="1"/>
  <c r="BS56" i="2"/>
  <c r="Y57" i="2" l="1"/>
  <c r="AA57" i="2" s="1"/>
  <c r="BL59" i="2"/>
  <c r="BO59" i="2" s="1"/>
  <c r="Q59" i="2"/>
  <c r="BD56" i="2"/>
  <c r="AT56" i="2"/>
  <c r="AU56" i="2" s="1"/>
  <c r="AV56" i="2" s="1"/>
  <c r="AC56" i="2"/>
  <c r="BC58" i="2"/>
  <c r="AP58" i="2"/>
  <c r="U58" i="2"/>
  <c r="BN61" i="2"/>
  <c r="K61" i="2"/>
  <c r="F62" i="2"/>
  <c r="H62" i="2" s="1"/>
  <c r="J62" i="2" s="1"/>
  <c r="BV57" i="2"/>
  <c r="BH57" i="2" s="1"/>
  <c r="BS57" i="2"/>
  <c r="V58" i="2" l="1"/>
  <c r="X58" i="2" s="1"/>
  <c r="Z58" i="2" s="1"/>
  <c r="Y58" i="2" s="1"/>
  <c r="BD57" i="2"/>
  <c r="AT57" i="2"/>
  <c r="AU57" i="2" s="1"/>
  <c r="AV57" i="2" s="1"/>
  <c r="AC57" i="2"/>
  <c r="I62" i="2"/>
  <c r="BK62" i="2"/>
  <c r="AL61" i="2"/>
  <c r="M61" i="2"/>
  <c r="BB61" i="2"/>
  <c r="BT61" i="2"/>
  <c r="BQ61" i="2"/>
  <c r="N60" i="2"/>
  <c r="P60" i="2" s="1"/>
  <c r="R60" i="2" s="1"/>
  <c r="S59" i="2"/>
  <c r="BR59" i="2"/>
  <c r="BU59" i="2"/>
  <c r="BG59" i="2" s="1"/>
  <c r="BM58" i="2" l="1"/>
  <c r="BP58" i="2" s="1"/>
  <c r="BV58" i="2" s="1"/>
  <c r="BH58" i="2" s="1"/>
  <c r="Q60" i="2"/>
  <c r="BL60" i="2"/>
  <c r="BO60" i="2" s="1"/>
  <c r="AA58" i="2"/>
  <c r="V59" i="2"/>
  <c r="X59" i="2" s="1"/>
  <c r="BN62" i="2"/>
  <c r="BC59" i="2"/>
  <c r="AP59" i="2"/>
  <c r="U59" i="2"/>
  <c r="K62" i="2"/>
  <c r="F63" i="2"/>
  <c r="H63" i="2" s="1"/>
  <c r="J63" i="2" s="1"/>
  <c r="BS58" i="2" l="1"/>
  <c r="BB62" i="2"/>
  <c r="AL62" i="2"/>
  <c r="M62" i="2"/>
  <c r="BR60" i="2"/>
  <c r="BU60" i="2"/>
  <c r="BG60" i="2" s="1"/>
  <c r="I63" i="2"/>
  <c r="BK63" i="2"/>
  <c r="AT58" i="2"/>
  <c r="AU58" i="2" s="1"/>
  <c r="AV58" i="2" s="1"/>
  <c r="BD58" i="2"/>
  <c r="AC58" i="2"/>
  <c r="BT62" i="2"/>
  <c r="BQ62" i="2"/>
  <c r="S60" i="2"/>
  <c r="N61" i="2"/>
  <c r="P61" i="2" s="1"/>
  <c r="R61" i="2" s="1"/>
  <c r="Z59" i="2"/>
  <c r="BM59" i="2" s="1"/>
  <c r="BP59" i="2" s="1"/>
  <c r="Y59" i="2" l="1"/>
  <c r="V60" i="2" s="1"/>
  <c r="X60" i="2" s="1"/>
  <c r="AP60" i="2"/>
  <c r="BC60" i="2"/>
  <c r="U60" i="2"/>
  <c r="BN63" i="2"/>
  <c r="BV59" i="2"/>
  <c r="BH59" i="2" s="1"/>
  <c r="BS59" i="2"/>
  <c r="K63" i="2"/>
  <c r="F64" i="2"/>
  <c r="H64" i="2" s="1"/>
  <c r="J64" i="2" s="1"/>
  <c r="BL61" i="2"/>
  <c r="BO61" i="2" s="1"/>
  <c r="Q61" i="2"/>
  <c r="AA59" i="2" l="1"/>
  <c r="AT59" i="2" s="1"/>
  <c r="AU59" i="2" s="1"/>
  <c r="AV59" i="2" s="1"/>
  <c r="Z60" i="2"/>
  <c r="Y60" i="2" s="1"/>
  <c r="BR61" i="2"/>
  <c r="BU61" i="2"/>
  <c r="BG61" i="2" s="1"/>
  <c r="I64" i="2"/>
  <c r="BK64" i="2"/>
  <c r="N62" i="2"/>
  <c r="P62" i="2" s="1"/>
  <c r="R62" i="2" s="1"/>
  <c r="S61" i="2"/>
  <c r="M63" i="2"/>
  <c r="AL63" i="2"/>
  <c r="BB63" i="2"/>
  <c r="BT63" i="2"/>
  <c r="BQ63" i="2"/>
  <c r="BD59" i="2" l="1"/>
  <c r="AC59" i="2"/>
  <c r="BM60" i="2"/>
  <c r="BP60" i="2" s="1"/>
  <c r="BS60" i="2" s="1"/>
  <c r="AA60" i="2"/>
  <c r="V61" i="2"/>
  <c r="X61" i="2" s="1"/>
  <c r="BN64" i="2"/>
  <c r="AP61" i="2"/>
  <c r="BC61" i="2"/>
  <c r="U61" i="2"/>
  <c r="K64" i="2"/>
  <c r="F65" i="2"/>
  <c r="Q62" i="2"/>
  <c r="BL62" i="2"/>
  <c r="BO62" i="2" s="1"/>
  <c r="BV60" i="2" l="1"/>
  <c r="BH60" i="2" s="1"/>
  <c r="BR62" i="2"/>
  <c r="BU62" i="2"/>
  <c r="BG62" i="2" s="1"/>
  <c r="H65" i="2"/>
  <c r="F66" i="2"/>
  <c r="S62" i="2"/>
  <c r="N63" i="2"/>
  <c r="P63" i="2" s="1"/>
  <c r="R63" i="2" s="1"/>
  <c r="BB64" i="2"/>
  <c r="AL64" i="2"/>
  <c r="M64" i="2"/>
  <c r="BQ64" i="2"/>
  <c r="BT64" i="2"/>
  <c r="Z61" i="2"/>
  <c r="BM61" i="2" s="1"/>
  <c r="BP61" i="2" s="1"/>
  <c r="AT60" i="2"/>
  <c r="AU60" i="2" s="1"/>
  <c r="AV60" i="2" s="1"/>
  <c r="BD60" i="2"/>
  <c r="AC60" i="2"/>
  <c r="BL63" i="2" l="1"/>
  <c r="BO63" i="2" s="1"/>
  <c r="Q63" i="2"/>
  <c r="J65" i="2"/>
  <c r="H66" i="2"/>
  <c r="BV61" i="2"/>
  <c r="BH61" i="2" s="1"/>
  <c r="BS61" i="2"/>
  <c r="Y61" i="2"/>
  <c r="AP62" i="2"/>
  <c r="BC62" i="2"/>
  <c r="U62" i="2"/>
  <c r="V62" i="2" l="1"/>
  <c r="X62" i="2" s="1"/>
  <c r="Z62" i="2" s="1"/>
  <c r="AA61" i="2"/>
  <c r="I65" i="2"/>
  <c r="BK65" i="2"/>
  <c r="J66" i="2"/>
  <c r="N64" i="2"/>
  <c r="P64" i="2" s="1"/>
  <c r="R64" i="2" s="1"/>
  <c r="S63" i="2"/>
  <c r="BR63" i="2"/>
  <c r="BU63" i="2"/>
  <c r="BG63" i="2" s="1"/>
  <c r="Q64" i="2" l="1"/>
  <c r="BL64" i="2"/>
  <c r="BO64" i="2" s="1"/>
  <c r="K65" i="2"/>
  <c r="I66" i="2"/>
  <c r="BD61" i="2"/>
  <c r="AT61" i="2"/>
  <c r="AU61" i="2" s="1"/>
  <c r="AV61" i="2" s="1"/>
  <c r="AC61" i="2"/>
  <c r="L55" i="5"/>
  <c r="J67" i="2"/>
  <c r="Y62" i="2"/>
  <c r="BM62" i="2"/>
  <c r="BP62" i="2" s="1"/>
  <c r="AP63" i="2"/>
  <c r="BC63" i="2"/>
  <c r="U63" i="2"/>
  <c r="BN65" i="2"/>
  <c r="I67" i="2" l="1"/>
  <c r="K55" i="5"/>
  <c r="BQ65" i="2"/>
  <c r="BT65" i="2"/>
  <c r="BS62" i="2"/>
  <c r="BV62" i="2"/>
  <c r="BH62" i="2" s="1"/>
  <c r="M65" i="2"/>
  <c r="BB65" i="2"/>
  <c r="BB66" i="2" s="1"/>
  <c r="AL4" i="2" s="1"/>
  <c r="AL65" i="2"/>
  <c r="K66" i="2"/>
  <c r="AA62" i="2"/>
  <c r="V63" i="2"/>
  <c r="X63" i="2" s="1"/>
  <c r="Z63" i="2" s="1"/>
  <c r="BM63" i="2" s="1"/>
  <c r="BP63" i="2" s="1"/>
  <c r="BR64" i="2"/>
  <c r="BU64" i="2"/>
  <c r="BG64" i="2" s="1"/>
  <c r="S64" i="2"/>
  <c r="N65" i="2"/>
  <c r="AL66" i="2" l="1"/>
  <c r="AM65" i="2" s="1"/>
  <c r="AN65" i="2" s="1"/>
  <c r="Y63" i="2"/>
  <c r="M66" i="2"/>
  <c r="P65" i="2"/>
  <c r="N66" i="2"/>
  <c r="BS63" i="2"/>
  <c r="BV63" i="2"/>
  <c r="BH63" i="2" s="1"/>
  <c r="M55" i="5"/>
  <c r="K67" i="2"/>
  <c r="AP64" i="2"/>
  <c r="BC64" i="2"/>
  <c r="U64" i="2"/>
  <c r="AT62" i="2"/>
  <c r="AU62" i="2" s="1"/>
  <c r="AV62" i="2" s="1"/>
  <c r="BD62" i="2"/>
  <c r="AC62" i="2"/>
  <c r="AM51" i="2" l="1"/>
  <c r="AN51" i="2" s="1"/>
  <c r="AM17" i="2"/>
  <c r="AN17" i="2" s="1"/>
  <c r="AM10" i="2"/>
  <c r="AN10" i="2" s="1"/>
  <c r="AM63" i="2"/>
  <c r="AN63" i="2" s="1"/>
  <c r="AM47" i="2"/>
  <c r="AN47" i="2" s="1"/>
  <c r="AM41" i="2"/>
  <c r="AN41" i="2" s="1"/>
  <c r="AM12" i="2"/>
  <c r="AN12" i="2" s="1"/>
  <c r="AM59" i="2"/>
  <c r="AN59" i="2" s="1"/>
  <c r="AM13" i="2"/>
  <c r="AN13" i="2" s="1"/>
  <c r="AM27" i="2"/>
  <c r="AN27" i="2" s="1"/>
  <c r="AM33" i="2"/>
  <c r="AN33" i="2" s="1"/>
  <c r="AM55" i="2"/>
  <c r="AN55" i="2" s="1"/>
  <c r="AM30" i="2"/>
  <c r="AN30" i="2" s="1"/>
  <c r="AM40" i="2"/>
  <c r="AN40" i="2" s="1"/>
  <c r="AM18" i="2"/>
  <c r="AN18" i="2" s="1"/>
  <c r="AM62" i="2"/>
  <c r="AN62" i="2" s="1"/>
  <c r="AM58" i="2"/>
  <c r="AN58" i="2" s="1"/>
  <c r="AM54" i="2"/>
  <c r="AN54" i="2" s="1"/>
  <c r="AM50" i="2"/>
  <c r="AN50" i="2" s="1"/>
  <c r="AM46" i="2"/>
  <c r="AN46" i="2" s="1"/>
  <c r="AM7" i="2"/>
  <c r="AN7" i="2" s="1"/>
  <c r="AM16" i="2"/>
  <c r="AN16" i="2" s="1"/>
  <c r="AM36" i="2"/>
  <c r="AN36" i="2" s="1"/>
  <c r="AM11" i="2"/>
  <c r="AN11" i="2" s="1"/>
  <c r="AM43" i="2"/>
  <c r="AN43" i="2" s="1"/>
  <c r="AM14" i="2"/>
  <c r="AN14" i="2" s="1"/>
  <c r="AM38" i="2"/>
  <c r="AN38" i="2" s="1"/>
  <c r="AM28" i="2"/>
  <c r="AN28" i="2" s="1"/>
  <c r="AM19" i="2"/>
  <c r="AN19" i="2" s="1"/>
  <c r="AM35" i="2"/>
  <c r="AN35" i="2" s="1"/>
  <c r="AM61" i="2"/>
  <c r="AN61" i="2" s="1"/>
  <c r="AM57" i="2"/>
  <c r="AN57" i="2" s="1"/>
  <c r="AM53" i="2"/>
  <c r="AN53" i="2" s="1"/>
  <c r="AM49" i="2"/>
  <c r="AN49" i="2" s="1"/>
  <c r="AM20" i="2"/>
  <c r="AN20" i="2" s="1"/>
  <c r="AM37" i="2"/>
  <c r="AN37" i="2" s="1"/>
  <c r="AM23" i="2"/>
  <c r="AN23" i="2" s="1"/>
  <c r="AM5" i="2"/>
  <c r="AN5" i="2" s="1"/>
  <c r="AM34" i="2"/>
  <c r="AN34" i="2" s="1"/>
  <c r="AM9" i="2"/>
  <c r="AN9" i="2" s="1"/>
  <c r="AM29" i="2"/>
  <c r="AN29" i="2" s="1"/>
  <c r="AM15" i="2"/>
  <c r="AN15" i="2" s="1"/>
  <c r="AM44" i="2"/>
  <c r="AN44" i="2" s="1"/>
  <c r="AM26" i="2"/>
  <c r="AN26" i="2" s="1"/>
  <c r="AM45" i="2"/>
  <c r="AN45" i="2" s="1"/>
  <c r="AM64" i="2"/>
  <c r="AN64" i="2" s="1"/>
  <c r="AM60" i="2"/>
  <c r="AN60" i="2" s="1"/>
  <c r="AM56" i="2"/>
  <c r="AN56" i="2" s="1"/>
  <c r="AM52" i="2"/>
  <c r="AN52" i="2" s="1"/>
  <c r="AM48" i="2"/>
  <c r="AN48" i="2" s="1"/>
  <c r="AM32" i="2"/>
  <c r="AN32" i="2" s="1"/>
  <c r="AM8" i="2"/>
  <c r="AN8" i="2" s="1"/>
  <c r="AM39" i="2"/>
  <c r="AN39" i="2" s="1"/>
  <c r="AM25" i="2"/>
  <c r="AN25" i="2" s="1"/>
  <c r="AM6" i="2"/>
  <c r="AN6" i="2" s="1"/>
  <c r="AM24" i="2"/>
  <c r="AN24" i="2" s="1"/>
  <c r="AM21" i="2"/>
  <c r="AN21" i="2" s="1"/>
  <c r="AM31" i="2"/>
  <c r="AN31" i="2" s="1"/>
  <c r="AM22" i="2"/>
  <c r="AN22" i="2" s="1"/>
  <c r="AM42" i="2"/>
  <c r="AN42" i="2" s="1"/>
  <c r="R65" i="2"/>
  <c r="P66" i="2"/>
  <c r="AA63" i="2"/>
  <c r="V64" i="2"/>
  <c r="X64" i="2" s="1"/>
  <c r="Z64" i="2" s="1"/>
  <c r="AN66" i="2" l="1"/>
  <c r="AN67" i="2" s="1"/>
  <c r="AN68" i="2" s="1"/>
  <c r="AM66" i="2"/>
  <c r="BL65" i="2"/>
  <c r="BO65" i="2" s="1"/>
  <c r="R66" i="2"/>
  <c r="Q65" i="2"/>
  <c r="Y64" i="2"/>
  <c r="BM64" i="2"/>
  <c r="BP64" i="2" s="1"/>
  <c r="BD63" i="2"/>
  <c r="AT63" i="2"/>
  <c r="AU63" i="2" s="1"/>
  <c r="AV63" i="2" s="1"/>
  <c r="AC63" i="2"/>
  <c r="S65" i="2" l="1"/>
  <c r="Q66" i="2"/>
  <c r="AA64" i="2"/>
  <c r="V65" i="2"/>
  <c r="L55" i="4"/>
  <c r="R67" i="2"/>
  <c r="BS64" i="2"/>
  <c r="BV64" i="2"/>
  <c r="BH64" i="2" s="1"/>
  <c r="BR65" i="2"/>
  <c r="BU65" i="2"/>
  <c r="BG65" i="2" s="1"/>
  <c r="K55" i="4" l="1"/>
  <c r="Q67" i="2"/>
  <c r="AP65" i="2"/>
  <c r="BC65" i="2"/>
  <c r="BC66" i="2" s="1"/>
  <c r="AP4" i="2" s="1"/>
  <c r="S66" i="2"/>
  <c r="U65" i="2"/>
  <c r="X65" i="2"/>
  <c r="V66" i="2"/>
  <c r="BD64" i="2"/>
  <c r="AT64" i="2"/>
  <c r="AU64" i="2" s="1"/>
  <c r="AV64" i="2" s="1"/>
  <c r="AC64" i="2"/>
  <c r="AP66" i="2" l="1"/>
  <c r="AQ65" i="2" s="1"/>
  <c r="AR65" i="2" s="1"/>
  <c r="Z65" i="2"/>
  <c r="Y65" i="2" s="1"/>
  <c r="X66" i="2"/>
  <c r="U66" i="2"/>
  <c r="S67" i="2"/>
  <c r="M55" i="4"/>
  <c r="AQ54" i="2" l="1"/>
  <c r="AR54" i="2" s="1"/>
  <c r="AQ14" i="2"/>
  <c r="AR14" i="2" s="1"/>
  <c r="AQ8" i="2"/>
  <c r="AR8" i="2" s="1"/>
  <c r="AQ53" i="2"/>
  <c r="AR53" i="2" s="1"/>
  <c r="AQ26" i="2"/>
  <c r="AR26" i="2" s="1"/>
  <c r="AQ34" i="2"/>
  <c r="AR34" i="2" s="1"/>
  <c r="AQ42" i="2"/>
  <c r="AR42" i="2" s="1"/>
  <c r="AQ15" i="2"/>
  <c r="AR15" i="2" s="1"/>
  <c r="AQ33" i="2"/>
  <c r="AR33" i="2" s="1"/>
  <c r="AQ27" i="2"/>
  <c r="AR27" i="2" s="1"/>
  <c r="AQ35" i="2"/>
  <c r="AR35" i="2" s="1"/>
  <c r="AQ59" i="2"/>
  <c r="AR59" i="2" s="1"/>
  <c r="AQ44" i="2"/>
  <c r="AR44" i="2" s="1"/>
  <c r="AQ31" i="2"/>
  <c r="AR31" i="2" s="1"/>
  <c r="AQ21" i="2"/>
  <c r="AR21" i="2" s="1"/>
  <c r="AQ16" i="2"/>
  <c r="AR16" i="2" s="1"/>
  <c r="AQ63" i="2"/>
  <c r="AR63" i="2" s="1"/>
  <c r="AQ58" i="2"/>
  <c r="AR58" i="2" s="1"/>
  <c r="AQ47" i="2"/>
  <c r="AR47" i="2" s="1"/>
  <c r="AQ62" i="2"/>
  <c r="AR62" i="2" s="1"/>
  <c r="AQ57" i="2"/>
  <c r="AR57" i="2" s="1"/>
  <c r="AQ51" i="2"/>
  <c r="AR51" i="2" s="1"/>
  <c r="AQ6" i="2"/>
  <c r="AR6" i="2" s="1"/>
  <c r="AQ11" i="2"/>
  <c r="AR11" i="2" s="1"/>
  <c r="AQ24" i="2"/>
  <c r="AR24" i="2" s="1"/>
  <c r="AQ32" i="2"/>
  <c r="AR32" i="2" s="1"/>
  <c r="AQ45" i="2"/>
  <c r="AR45" i="2" s="1"/>
  <c r="AQ10" i="2"/>
  <c r="AR10" i="2" s="1"/>
  <c r="AQ18" i="2"/>
  <c r="AR18" i="2" s="1"/>
  <c r="AQ36" i="2"/>
  <c r="AR36" i="2" s="1"/>
  <c r="AQ49" i="2"/>
  <c r="AR49" i="2" s="1"/>
  <c r="AQ25" i="2"/>
  <c r="AR25" i="2" s="1"/>
  <c r="AQ61" i="2"/>
  <c r="AR61" i="2" s="1"/>
  <c r="AQ55" i="2"/>
  <c r="AR55" i="2" s="1"/>
  <c r="AQ50" i="2"/>
  <c r="AR50" i="2" s="1"/>
  <c r="AQ29" i="2"/>
  <c r="AR29" i="2" s="1"/>
  <c r="AQ23" i="2"/>
  <c r="AR23" i="2" s="1"/>
  <c r="AQ5" i="2"/>
  <c r="AR5" i="2" s="1"/>
  <c r="AR66" i="2" s="1"/>
  <c r="AR67" i="2" s="1"/>
  <c r="AR68" i="2" s="1"/>
  <c r="AQ20" i="2"/>
  <c r="AR20" i="2" s="1"/>
  <c r="AQ17" i="2"/>
  <c r="AR17" i="2" s="1"/>
  <c r="AQ30" i="2"/>
  <c r="AR30" i="2" s="1"/>
  <c r="AQ38" i="2"/>
  <c r="AR38" i="2" s="1"/>
  <c r="AQ19" i="2"/>
  <c r="AR19" i="2" s="1"/>
  <c r="AQ12" i="2"/>
  <c r="AR12" i="2" s="1"/>
  <c r="AQ43" i="2"/>
  <c r="AR43" i="2" s="1"/>
  <c r="AQ64" i="2"/>
  <c r="AR64" i="2" s="1"/>
  <c r="AQ60" i="2"/>
  <c r="AR60" i="2" s="1"/>
  <c r="AQ56" i="2"/>
  <c r="AR56" i="2" s="1"/>
  <c r="AQ52" i="2"/>
  <c r="AR52" i="2" s="1"/>
  <c r="AQ48" i="2"/>
  <c r="AR48" i="2" s="1"/>
  <c r="AQ9" i="2"/>
  <c r="AR9" i="2" s="1"/>
  <c r="AQ37" i="2"/>
  <c r="AR37" i="2" s="1"/>
  <c r="AQ46" i="2"/>
  <c r="AR46" i="2" s="1"/>
  <c r="AQ13" i="2"/>
  <c r="AR13" i="2" s="1"/>
  <c r="AQ39" i="2"/>
  <c r="AR39" i="2" s="1"/>
  <c r="AQ40" i="2"/>
  <c r="AR40" i="2" s="1"/>
  <c r="AQ7" i="2"/>
  <c r="AR7" i="2" s="1"/>
  <c r="AQ41" i="2"/>
  <c r="AR41" i="2" s="1"/>
  <c r="AQ28" i="2"/>
  <c r="AR28" i="2" s="1"/>
  <c r="AQ22" i="2"/>
  <c r="AR22" i="2" s="1"/>
  <c r="AA65" i="2"/>
  <c r="Y66" i="2"/>
  <c r="Y67" i="2" s="1"/>
  <c r="BM65" i="2"/>
  <c r="BP65" i="2" s="1"/>
  <c r="Z66" i="2"/>
  <c r="Z67" i="2" s="1"/>
  <c r="AQ66" i="2" l="1"/>
  <c r="BS65" i="2"/>
  <c r="BV65" i="2"/>
  <c r="BH65" i="2" s="1"/>
  <c r="AT65" i="2"/>
  <c r="AU65" i="2" s="1"/>
  <c r="AV65" i="2" s="1"/>
  <c r="BD65" i="2"/>
  <c r="AA66" i="2"/>
  <c r="AA67" i="2" s="1"/>
  <c r="AC65" i="2"/>
  <c r="AE44" i="2" l="1"/>
  <c r="AE32" i="2"/>
  <c r="AF32" i="2" s="1"/>
  <c r="AE43" i="2"/>
  <c r="AC66" i="2"/>
  <c r="AE65" i="2" s="1"/>
  <c r="AE45" i="2"/>
  <c r="AE35" i="2"/>
  <c r="AE34" i="2"/>
  <c r="AE41" i="2"/>
  <c r="AE42" i="2"/>
  <c r="AE38" i="2"/>
  <c r="AE39" i="2"/>
  <c r="AE36" i="2"/>
  <c r="AE33" i="2"/>
  <c r="AE40" i="2"/>
  <c r="AE37" i="2"/>
  <c r="AE47" i="2"/>
  <c r="AE49" i="2"/>
  <c r="AE51" i="2"/>
  <c r="AE53" i="2"/>
  <c r="AE55" i="2"/>
  <c r="AE57" i="2"/>
  <c r="AE59" i="2"/>
  <c r="AE63" i="2"/>
  <c r="AE61" i="2"/>
  <c r="AE54" i="2" l="1"/>
  <c r="AE50" i="2"/>
  <c r="AE46" i="2"/>
  <c r="AE52" i="2"/>
  <c r="AE48" i="2"/>
  <c r="AE60" i="2"/>
  <c r="AE56" i="2"/>
  <c r="AG32" i="2"/>
  <c r="AD33" i="2"/>
  <c r="AF33" i="2" s="1"/>
  <c r="AE62" i="2"/>
  <c r="AE58" i="2"/>
  <c r="AE64" i="2"/>
  <c r="AH32" i="2" l="1"/>
  <c r="AG33" i="2"/>
  <c r="AH33" i="2" s="1"/>
  <c r="AD34" i="2"/>
  <c r="AF34" i="2" s="1"/>
  <c r="BE32" i="2" l="1"/>
  <c r="AX32" i="2"/>
  <c r="AG34" i="2"/>
  <c r="AH34" i="2" s="1"/>
  <c r="AD35" i="2"/>
  <c r="AF35" i="2" s="1"/>
  <c r="AX33" i="2"/>
  <c r="BE33" i="2"/>
  <c r="AG35" i="2" l="1"/>
  <c r="AD36" i="2"/>
  <c r="AF36" i="2" s="1"/>
  <c r="BE34" i="2"/>
  <c r="AX34" i="2"/>
  <c r="AH35" i="2" l="1"/>
  <c r="AG36" i="2"/>
  <c r="AH36" i="2" s="1"/>
  <c r="AD37" i="2"/>
  <c r="AF37" i="2" s="1"/>
  <c r="AG37" i="2" l="1"/>
  <c r="AH37" i="2" s="1"/>
  <c r="AD38" i="2"/>
  <c r="AF38" i="2" s="1"/>
  <c r="BE35" i="2"/>
  <c r="AX35" i="2"/>
  <c r="BE36" i="2"/>
  <c r="AX36" i="2"/>
  <c r="AX37" i="2" l="1"/>
  <c r="BE37" i="2"/>
  <c r="AG38" i="2"/>
  <c r="AD39" i="2"/>
  <c r="AF39" i="2" s="1"/>
  <c r="AD40" i="2" l="1"/>
  <c r="AF40" i="2" s="1"/>
  <c r="AG39" i="2"/>
  <c r="AH39" i="2" s="1"/>
  <c r="AH38" i="2"/>
  <c r="AD41" i="2" l="1"/>
  <c r="AF41" i="2" s="1"/>
  <c r="AG40" i="2"/>
  <c r="AH40" i="2" s="1"/>
  <c r="BE38" i="2"/>
  <c r="AX38" i="2"/>
  <c r="BE39" i="2"/>
  <c r="AX39" i="2"/>
  <c r="AD42" i="2" l="1"/>
  <c r="AF42" i="2" s="1"/>
  <c r="AG41" i="2"/>
  <c r="AH41" i="2" s="1"/>
  <c r="AX40" i="2"/>
  <c r="BE40" i="2"/>
  <c r="AD43" i="2" l="1"/>
  <c r="AF43" i="2" s="1"/>
  <c r="AG42" i="2"/>
  <c r="AH42" i="2" s="1"/>
  <c r="AX41" i="2"/>
  <c r="BE41" i="2"/>
  <c r="AG43" i="2" l="1"/>
  <c r="AH43" i="2" s="1"/>
  <c r="AD44" i="2"/>
  <c r="AF44" i="2" s="1"/>
  <c r="BE42" i="2"/>
  <c r="AX42" i="2"/>
  <c r="BE43" i="2" l="1"/>
  <c r="AX43" i="2"/>
  <c r="AD45" i="2"/>
  <c r="AF45" i="2" s="1"/>
  <c r="AG44" i="2"/>
  <c r="AH44" i="2" s="1"/>
  <c r="BE44" i="2" l="1"/>
  <c r="AX44" i="2"/>
  <c r="AD46" i="2"/>
  <c r="AF46" i="2" s="1"/>
  <c r="AG45" i="2"/>
  <c r="AH45" i="2" s="1"/>
  <c r="BE45" i="2" l="1"/>
  <c r="AX45" i="2"/>
  <c r="AD47" i="2"/>
  <c r="AF47" i="2" s="1"/>
  <c r="AG46" i="2"/>
  <c r="AH46" i="2" s="1"/>
  <c r="BE46" i="2" l="1"/>
  <c r="AX46" i="2"/>
  <c r="AG47" i="2"/>
  <c r="AH47" i="2" s="1"/>
  <c r="AD48" i="2"/>
  <c r="AF48" i="2" s="1"/>
  <c r="AD49" i="2" l="1"/>
  <c r="AF49" i="2" s="1"/>
  <c r="AG48" i="2"/>
  <c r="AH48" i="2" s="1"/>
  <c r="BE47" i="2"/>
  <c r="AX47" i="2"/>
  <c r="AG49" i="2" l="1"/>
  <c r="AH49" i="2" s="1"/>
  <c r="AD50" i="2"/>
  <c r="AF50" i="2" s="1"/>
  <c r="AX48" i="2"/>
  <c r="BE48" i="2"/>
  <c r="BE49" i="2" l="1"/>
  <c r="AX49" i="2"/>
  <c r="AD51" i="2"/>
  <c r="AF51" i="2" s="1"/>
  <c r="AG50" i="2"/>
  <c r="AH50" i="2" s="1"/>
  <c r="AX50" i="2" l="1"/>
  <c r="BE50" i="2"/>
  <c r="AD52" i="2"/>
  <c r="AF52" i="2" s="1"/>
  <c r="AG51" i="2"/>
  <c r="AH51" i="2" s="1"/>
  <c r="BE51" i="2" l="1"/>
  <c r="AX51" i="2"/>
  <c r="AD53" i="2"/>
  <c r="AF53" i="2" s="1"/>
  <c r="AG52" i="2"/>
  <c r="AH52" i="2" s="1"/>
  <c r="BE52" i="2" l="1"/>
  <c r="AX52" i="2"/>
  <c r="AG53" i="2"/>
  <c r="AH53" i="2" s="1"/>
  <c r="AD54" i="2"/>
  <c r="AF54" i="2" s="1"/>
  <c r="AD55" i="2" l="1"/>
  <c r="AF55" i="2" s="1"/>
  <c r="AG54" i="2"/>
  <c r="AH54" i="2" s="1"/>
  <c r="AX53" i="2"/>
  <c r="BE53" i="2"/>
  <c r="AG55" i="2" l="1"/>
  <c r="AH55" i="2" s="1"/>
  <c r="AD56" i="2"/>
  <c r="AF56" i="2" s="1"/>
  <c r="BE54" i="2"/>
  <c r="AX54" i="2"/>
  <c r="AX55" i="2" l="1"/>
  <c r="BE55" i="2"/>
  <c r="AD57" i="2"/>
  <c r="AF57" i="2" s="1"/>
  <c r="AG56" i="2"/>
  <c r="AH56" i="2" s="1"/>
  <c r="AX56" i="2" l="1"/>
  <c r="BE56" i="2"/>
  <c r="AG57" i="2"/>
  <c r="AH57" i="2" s="1"/>
  <c r="AD58" i="2"/>
  <c r="AF58" i="2" s="1"/>
  <c r="AD59" i="2" l="1"/>
  <c r="AF59" i="2" s="1"/>
  <c r="AG58" i="2"/>
  <c r="AH58" i="2" s="1"/>
  <c r="BE57" i="2"/>
  <c r="AX57" i="2"/>
  <c r="BE58" i="2" l="1"/>
  <c r="AX58" i="2"/>
  <c r="AD60" i="2"/>
  <c r="AF60" i="2" s="1"/>
  <c r="AG59" i="2"/>
  <c r="AH59" i="2" s="1"/>
  <c r="AX59" i="2" l="1"/>
  <c r="BE59" i="2"/>
  <c r="AD61" i="2"/>
  <c r="AF61" i="2" s="1"/>
  <c r="AG60" i="2"/>
  <c r="AH60" i="2" s="1"/>
  <c r="BE60" i="2" l="1"/>
  <c r="AX60" i="2"/>
  <c r="AD62" i="2"/>
  <c r="AF62" i="2" s="1"/>
  <c r="AG61" i="2"/>
  <c r="AH61" i="2" s="1"/>
  <c r="BE61" i="2" l="1"/>
  <c r="AX61" i="2"/>
  <c r="AD63" i="2"/>
  <c r="AF63" i="2" s="1"/>
  <c r="AG62" i="2"/>
  <c r="AH62" i="2" s="1"/>
  <c r="AX62" i="2" l="1"/>
  <c r="BE62" i="2"/>
  <c r="AG63" i="2"/>
  <c r="AH63" i="2" s="1"/>
  <c r="AD64" i="2"/>
  <c r="AF64" i="2" s="1"/>
  <c r="AD65" i="2" l="1"/>
  <c r="AG64" i="2"/>
  <c r="AH64" i="2" s="1"/>
  <c r="BE63" i="2"/>
  <c r="AX63" i="2"/>
  <c r="BE64" i="2" l="1"/>
  <c r="AX64" i="2"/>
  <c r="AD66" i="2"/>
  <c r="AF65" i="2"/>
  <c r="AG65" i="2" l="1"/>
  <c r="AG66" i="2" s="1"/>
  <c r="AF66" i="2"/>
  <c r="AF67" i="2" s="1"/>
  <c r="AH65" i="2" l="1"/>
  <c r="BE65" i="2" s="1"/>
  <c r="AG67" i="2"/>
  <c r="AH66" i="2" l="1"/>
  <c r="AH67" i="2" s="1"/>
  <c r="AX65" i="2"/>
  <c r="AX66" i="2" s="1"/>
  <c r="AY28" i="2" s="1"/>
  <c r="AZ28" i="2" s="1"/>
  <c r="AY64" i="2" l="1"/>
  <c r="AZ64" i="2" s="1"/>
  <c r="AY59" i="2"/>
  <c r="AZ59" i="2" s="1"/>
  <c r="AY53" i="2"/>
  <c r="AZ53" i="2" s="1"/>
  <c r="AY48" i="2"/>
  <c r="AZ48" i="2" s="1"/>
  <c r="AY43" i="2"/>
  <c r="AZ43" i="2" s="1"/>
  <c r="AY37" i="2"/>
  <c r="AZ37" i="2" s="1"/>
  <c r="AY33" i="2"/>
  <c r="AZ33" i="2" s="1"/>
  <c r="AY10" i="2"/>
  <c r="AZ10" i="2" s="1"/>
  <c r="AY26" i="2"/>
  <c r="AZ26" i="2" s="1"/>
  <c r="AY30" i="2"/>
  <c r="AZ30" i="2" s="1"/>
  <c r="AY7" i="2"/>
  <c r="AZ7" i="2" s="1"/>
  <c r="AY21" i="2"/>
  <c r="AZ21" i="2" s="1"/>
  <c r="AY63" i="2"/>
  <c r="AZ63" i="2" s="1"/>
  <c r="AY57" i="2"/>
  <c r="AZ57" i="2" s="1"/>
  <c r="AY52" i="2"/>
  <c r="AZ52" i="2" s="1"/>
  <c r="AY47" i="2"/>
  <c r="AZ47" i="2" s="1"/>
  <c r="AY41" i="2"/>
  <c r="AZ41" i="2" s="1"/>
  <c r="AY36" i="2"/>
  <c r="AZ36" i="2" s="1"/>
  <c r="AY18" i="2"/>
  <c r="AZ18" i="2" s="1"/>
  <c r="AY8" i="2"/>
  <c r="AZ8" i="2" s="1"/>
  <c r="AY16" i="2"/>
  <c r="AZ16" i="2" s="1"/>
  <c r="AY5" i="2"/>
  <c r="AZ5" i="2" s="1"/>
  <c r="AY22" i="2"/>
  <c r="AZ22" i="2" s="1"/>
  <c r="AY65" i="2"/>
  <c r="AZ65" i="2" s="1"/>
  <c r="AY61" i="2"/>
  <c r="AZ61" i="2" s="1"/>
  <c r="AY56" i="2"/>
  <c r="AZ56" i="2" s="1"/>
  <c r="AY51" i="2"/>
  <c r="AZ51" i="2" s="1"/>
  <c r="AY45" i="2"/>
  <c r="AZ45" i="2" s="1"/>
  <c r="AY40" i="2"/>
  <c r="AZ40" i="2" s="1"/>
  <c r="AY35" i="2"/>
  <c r="AZ35" i="2" s="1"/>
  <c r="AY14" i="2"/>
  <c r="AZ14" i="2" s="1"/>
  <c r="AY6" i="2"/>
  <c r="AZ6" i="2" s="1"/>
  <c r="AY12" i="2"/>
  <c r="AZ12" i="2" s="1"/>
  <c r="AY17" i="2"/>
  <c r="AZ17" i="2" s="1"/>
  <c r="AY31" i="2"/>
  <c r="AZ31" i="2" s="1"/>
  <c r="AY60" i="2"/>
  <c r="AZ60" i="2" s="1"/>
  <c r="AY55" i="2"/>
  <c r="AZ55" i="2" s="1"/>
  <c r="AY49" i="2"/>
  <c r="AZ49" i="2" s="1"/>
  <c r="AY44" i="2"/>
  <c r="AZ44" i="2" s="1"/>
  <c r="AY39" i="2"/>
  <c r="AZ39" i="2" s="1"/>
  <c r="AY32" i="2"/>
  <c r="AZ32" i="2" s="1"/>
  <c r="AY24" i="2"/>
  <c r="AZ24" i="2" s="1"/>
  <c r="AY19" i="2"/>
  <c r="AZ19" i="2" s="1"/>
  <c r="AY29" i="2"/>
  <c r="AZ29" i="2" s="1"/>
  <c r="AY23" i="2"/>
  <c r="AZ23" i="2" s="1"/>
  <c r="AY9" i="2"/>
  <c r="AZ9" i="2" s="1"/>
  <c r="AY62" i="2"/>
  <c r="AZ62" i="2" s="1"/>
  <c r="AY58" i="2"/>
  <c r="AZ58" i="2" s="1"/>
  <c r="AY54" i="2"/>
  <c r="AZ54" i="2" s="1"/>
  <c r="AY50" i="2"/>
  <c r="AZ50" i="2" s="1"/>
  <c r="AY46" i="2"/>
  <c r="AZ46" i="2" s="1"/>
  <c r="AY42" i="2"/>
  <c r="AZ42" i="2" s="1"/>
  <c r="AY38" i="2"/>
  <c r="AZ38" i="2" s="1"/>
  <c r="AY34" i="2"/>
  <c r="AZ34" i="2" s="1"/>
  <c r="AY25" i="2"/>
  <c r="AZ25" i="2" s="1"/>
  <c r="AY11" i="2"/>
  <c r="AZ11" i="2" s="1"/>
  <c r="AY20" i="2"/>
  <c r="AZ20" i="2" s="1"/>
  <c r="AY27" i="2"/>
  <c r="AZ27" i="2" s="1"/>
  <c r="AY15" i="2"/>
  <c r="AZ15" i="2" s="1"/>
  <c r="AY13" i="2"/>
  <c r="AZ13" i="2" s="1"/>
  <c r="AY66" i="2" l="1"/>
  <c r="AY67" i="2" s="1"/>
  <c r="AZ66" i="2"/>
  <c r="AZ67" i="2" s="1"/>
</calcChain>
</file>

<file path=xl/sharedStrings.xml><?xml version="1.0" encoding="utf-8"?>
<sst xmlns="http://schemas.openxmlformats.org/spreadsheetml/2006/main" count="216" uniqueCount="82">
  <si>
    <t>Carga</t>
  </si>
  <si>
    <t>Serie</t>
  </si>
  <si>
    <t>Fecha de Pago</t>
  </si>
  <si>
    <t>FF Neto</t>
  </si>
  <si>
    <t>BADLAR</t>
  </si>
  <si>
    <t>Fecha de Liq.</t>
  </si>
  <si>
    <t>Bono</t>
  </si>
  <si>
    <t>Monto</t>
  </si>
  <si>
    <t>Mínimo</t>
  </si>
  <si>
    <t>Spread</t>
  </si>
  <si>
    <t>Máximo</t>
  </si>
  <si>
    <t>Corte</t>
  </si>
  <si>
    <t>VDF A</t>
  </si>
  <si>
    <t>VDF B</t>
  </si>
  <si>
    <t>VDF C</t>
  </si>
  <si>
    <t>CP</t>
  </si>
  <si>
    <t>Primer dev'to</t>
  </si>
  <si>
    <t>Duration</t>
  </si>
  <si>
    <t>Precio</t>
  </si>
  <si>
    <t>Fecha</t>
  </si>
  <si>
    <t>VR Al inicio</t>
  </si>
  <si>
    <t>Tasa Aplicable</t>
  </si>
  <si>
    <t>Interés devengado</t>
  </si>
  <si>
    <t>Pago de Capital</t>
  </si>
  <si>
    <t>Pago de Interés</t>
  </si>
  <si>
    <t>Pago Total</t>
  </si>
  <si>
    <t>Útimo pago</t>
  </si>
  <si>
    <t>Días</t>
  </si>
  <si>
    <t>FF</t>
  </si>
  <si>
    <t>VP</t>
  </si>
  <si>
    <t>Total</t>
  </si>
  <si>
    <t>MD</t>
  </si>
  <si>
    <t>VN</t>
  </si>
  <si>
    <t>Fecha de liquidación</t>
  </si>
  <si>
    <t>Fecha de Corte</t>
  </si>
  <si>
    <t>Flujo Disponible</t>
  </si>
  <si>
    <t>Devengamiento Interés</t>
  </si>
  <si>
    <t>Fecha dev.</t>
  </si>
  <si>
    <t>días</t>
  </si>
  <si>
    <t>tasa de referencia aplicable</t>
  </si>
  <si>
    <t>Tasa cupón proyectada</t>
  </si>
  <si>
    <t>Int. Período dev.</t>
  </si>
  <si>
    <t>Int. Acum. a pagar</t>
  </si>
  <si>
    <t>Capital</t>
  </si>
  <si>
    <t>Rendimiento</t>
  </si>
  <si>
    <t>Saldo</t>
  </si>
  <si>
    <t>Fecha de Venta</t>
  </si>
  <si>
    <t>Fecha Devengamiento</t>
  </si>
  <si>
    <t>Calificación</t>
  </si>
  <si>
    <t>Capital Residual + Interes a pagar</t>
  </si>
  <si>
    <t>(Pago/Flujo)</t>
  </si>
  <si>
    <t>(Flujo-Pago)/Flujo</t>
  </si>
  <si>
    <t>Debt Service Coverage (Flujo/Pago)</t>
  </si>
  <si>
    <t>HOY</t>
  </si>
  <si>
    <t>FF Residual</t>
  </si>
  <si>
    <t>A</t>
  </si>
  <si>
    <t>B</t>
  </si>
  <si>
    <t>C</t>
  </si>
  <si>
    <r>
      <t>Cobertua A t</t>
    </r>
    <r>
      <rPr>
        <vertAlign val="subscript"/>
        <sz val="8"/>
        <color theme="1"/>
        <rFont val="Calibri"/>
        <family val="2"/>
      </rPr>
      <t>0</t>
    </r>
  </si>
  <si>
    <t>Cobertura B a la fecha</t>
  </si>
  <si>
    <t>Cobertura C a la fecha</t>
  </si>
  <si>
    <r>
      <t>Cobertura B &gt; Cobertua A t</t>
    </r>
    <r>
      <rPr>
        <vertAlign val="subscript"/>
        <sz val="8"/>
        <color theme="1"/>
        <rFont val="Calibri"/>
        <family val="2"/>
      </rPr>
      <t>0</t>
    </r>
  </si>
  <si>
    <r>
      <t>Cobertura C &gt; Cobertua A t</t>
    </r>
    <r>
      <rPr>
        <vertAlign val="subscript"/>
        <sz val="8"/>
        <color theme="1"/>
        <rFont val="Calibri"/>
        <family val="2"/>
      </rPr>
      <t>0</t>
    </r>
  </si>
  <si>
    <t>Badlar proyectada (TNA)</t>
  </si>
  <si>
    <t>VAN (AR$)</t>
  </si>
  <si>
    <t>Precio (AR$ c/100VN)</t>
  </si>
  <si>
    <t>Duration (meses)</t>
  </si>
  <si>
    <t>TIR solicitada</t>
  </si>
  <si>
    <t xml:space="preserve">La presente planilla de cálculo debe ser considerada por el interesado al sólo efecto ilustrativo y ejemplificativo. Los resultados que esta arroje no serán vinculantes y pueden sufrir variaciones ante cambios en cualquiera de los supuestos de elaboración. A los efectos de la suscripción de los Valores de Deuda Fiduciaria, el interesado deberá basarse en sus propios cálculos y evaluación de la información publicada en el Suplemento de Prospecto y, en particular, las consideraciones de riesgo para la inversión. </t>
  </si>
  <si>
    <t xml:space="preserve">     Calculadora Fideicomiso Financiero</t>
  </si>
  <si>
    <t>Cupón</t>
  </si>
  <si>
    <t>Flujo de efectivo (según Prospecto)</t>
  </si>
  <si>
    <t>TNA solicitada</t>
  </si>
  <si>
    <t>[Flujo medido al cupón mínimo]</t>
  </si>
  <si>
    <t>[Flujo con cupón activado a Badlar proyectada]</t>
  </si>
  <si>
    <t>TIR Inversor</t>
  </si>
  <si>
    <t>TNA Inversor</t>
  </si>
  <si>
    <t>Spread sobre Badlar</t>
  </si>
  <si>
    <t>AAAsf(arg)</t>
  </si>
  <si>
    <t>Valor</t>
  </si>
  <si>
    <t>A-sf(arg)</t>
  </si>
  <si>
    <t>MIS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</si>
</sst>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_ &quot;$&quot;\ * #,##0_ ;_ &quot;$&quot;\ * \-#,##0_ ;_ &quot;$&quot;\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;\-#,##0;\-"/>
    <numFmt numFmtId="168" formatCode="0.0%"/>
    <numFmt numFmtId="169" formatCode="#,##0.0&quot;x&quot;\ ;\-#,##0.0&quot;x&quot;"/>
    <numFmt numFmtId="170" formatCode="#,##0;\-#,##0;"/>
    <numFmt numFmtId="171" formatCode="0.0000%"/>
    <numFmt numFmtId="172" formatCode="_ * #,##0.000000_ ;_ * \-#,##0.000000_ ;_ * &quot;-&quot;??_ ;_ @_ "/>
    <numFmt numFmtId="173" formatCode="_ &quot;$&quot;\ * #,##0_ ;_ &quot;$&quot;\ * \-#,##0_ ;_ &quot;$&quot;\ * &quot;-&quot;??_ ;_ @_ "/>
    <numFmt numFmtId="174" formatCode="#,##0\ &quot;bps&quot;"/>
    <numFmt numFmtId="175" formatCode="_ * #,##0.0000_ ;_ * \-#,##0.0000_ ;_ * &quot;-&quot;??_ ;_ @_ "/>
    <numFmt numFmtId="176" formatCode="#,##0\ &quot;días&quot;"/>
    <numFmt numFmtId="177" formatCode="_ * #,##0_ ;_ * \-#,##0_ ;_ * &quot;-&quot;??_ ;_ @_ "/>
    <numFmt numFmtId="178" formatCode="_ [$€-2]\ * #,##0.00_ ;_ [$€-2]\ * \-#,##0.00_ ;_ [$€-2]\ * &quot;-&quot;??_ "/>
    <numFmt numFmtId="179" formatCode="#,##0.0,,_);\(#,##0.0,,\);\-_)"/>
    <numFmt numFmtId="180" formatCode="#,##0.0_);\(#,##0.0\);\-_)"/>
    <numFmt numFmtId="181" formatCode="#,##0.0,_);\(#,##0.0,\);\-_)"/>
    <numFmt numFmtId="182" formatCode="#,##0.00_);\(#,##0.00\);\-_)"/>
    <numFmt numFmtId="183" formatCode="####_)"/>
    <numFmt numFmtId="184" formatCode="_ * #,##0_ ;_ * \-#,##0_ ;_ * &quot;-&quot;????_ ;_ @_ "/>
    <numFmt numFmtId="185" formatCode="#,##0.00;\-#,##0.00;\-"/>
    <numFmt numFmtId="186" formatCode="dd/mm/yyyy;@"/>
    <numFmt numFmtId="187" formatCode="0.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8"/>
      <name val="Calibri"/>
      <family val="2"/>
      <scheme val="minor"/>
    </font>
    <font>
      <sz val="10"/>
      <name val="Verdana"/>
      <family val="2"/>
    </font>
    <font>
      <sz val="11"/>
      <color indexed="8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verdana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9"/>
      <name val="Book Antiqua"/>
      <family val="1"/>
    </font>
    <font>
      <vertAlign val="subscript"/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i/>
      <sz val="20"/>
      <name val="Segoe UI"/>
      <family val="2"/>
    </font>
    <font>
      <sz val="11"/>
      <color theme="1"/>
      <name val="Segoe UI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11"/>
      <color theme="1"/>
      <name val="Segoe UI"/>
      <family val="2"/>
    </font>
    <font>
      <sz val="11"/>
      <color indexed="8"/>
      <name val="Segoe UI"/>
      <family val="2"/>
    </font>
    <font>
      <sz val="10"/>
      <color indexed="8"/>
      <name val="Segoe UI"/>
      <family val="2"/>
    </font>
    <font>
      <b/>
      <sz val="10"/>
      <name val="Segoe UI"/>
      <family val="2"/>
    </font>
    <font>
      <b/>
      <sz val="11"/>
      <color indexed="8"/>
      <name val="Segoe UI"/>
      <family val="2"/>
    </font>
    <font>
      <b/>
      <sz val="10"/>
      <color indexed="9"/>
      <name val="Segoe UI"/>
      <family val="2"/>
    </font>
    <font>
      <b/>
      <sz val="11"/>
      <color indexed="30"/>
      <name val="Segoe UI"/>
      <family val="2"/>
    </font>
    <font>
      <sz val="11"/>
      <color indexed="9"/>
      <name val="Segoe UI"/>
      <family val="2"/>
    </font>
    <font>
      <b/>
      <sz val="11"/>
      <color indexed="9"/>
      <name val="Segoe UI"/>
      <family val="2"/>
    </font>
    <font>
      <sz val="11"/>
      <color rgb="FFFF0000"/>
      <name val="Segoe UI"/>
      <family val="2"/>
    </font>
    <font>
      <b/>
      <sz val="10"/>
      <color theme="0"/>
      <name val="Segoe UI"/>
      <family val="2"/>
    </font>
    <font>
      <sz val="9"/>
      <name val="Arial"/>
      <family val="2"/>
    </font>
    <font>
      <sz val="9"/>
      <name val="Segoe UI"/>
      <family val="2"/>
    </font>
    <font>
      <b/>
      <sz val="11"/>
      <name val="Segoe UI"/>
      <family val="2"/>
    </font>
    <font>
      <i/>
      <sz val="10"/>
      <name val="Segoe UI"/>
      <family val="2"/>
    </font>
    <font>
      <sz val="22"/>
      <color rgb="FF002060"/>
      <name val="Segoe UI"/>
      <family val="2"/>
    </font>
    <font>
      <sz val="8"/>
      <color theme="4"/>
      <name val="Calibri"/>
      <family val="2"/>
      <scheme val="minor"/>
    </font>
    <font>
      <b/>
      <u/>
      <sz val="11"/>
      <color theme="1"/>
      <name val="Segoe UI"/>
      <family val="2"/>
    </font>
    <font>
      <i/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color rgb="FF333333"/>
      <name val="Helvetica"/>
      <family val="2"/>
    </font>
    <font>
      <sz val="11"/>
      <color rgb="FF333333"/>
      <name val="Helvetica"/>
      <family val="2"/>
    </font>
    <font>
      <sz val="8"/>
      <color rgb="FF333333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102D"/>
        <bgColor indexed="64"/>
      </patternFill>
    </fill>
    <fill>
      <patternFill patternType="solid">
        <fgColor rgb="FF00226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</borders>
  <cellStyleXfs count="31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165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0" fontId="11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7" fontId="12" fillId="0" borderId="0" applyFont="0" applyFill="0" applyBorder="0" applyAlignment="0" applyProtection="0"/>
    <xf numFmtId="15" fontId="13" fillId="4" borderId="0" applyNumberFormat="0" applyFont="0" applyBorder="0" applyAlignment="0" applyProtection="0"/>
    <xf numFmtId="178" fontId="8" fillId="0" borderId="0" applyFont="0" applyFill="0" applyBorder="0" applyAlignment="0" applyProtection="0"/>
    <xf numFmtId="38" fontId="14" fillId="0" borderId="0" applyNumberFormat="0" applyProtection="0"/>
    <xf numFmtId="0" fontId="8" fillId="0" borderId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12" fillId="0" borderId="0" applyFont="0" applyFill="0" applyBorder="0" applyAlignment="0" applyProtection="0"/>
    <xf numFmtId="10" fontId="8" fillId="5" borderId="2" applyNumberFormat="0" applyFont="0" applyBorder="0" applyAlignment="0" applyProtection="0">
      <protection locked="0"/>
    </xf>
    <xf numFmtId="183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68" fontId="4" fillId="0" borderId="0" xfId="2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16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5" fontId="4" fillId="2" borderId="0" xfId="0" applyNumberFormat="1" applyFont="1" applyFill="1" applyAlignment="1">
      <alignment horizontal="center" vertical="center"/>
    </xf>
    <xf numFmtId="170" fontId="4" fillId="2" borderId="0" xfId="0" applyNumberFormat="1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168" fontId="4" fillId="2" borderId="0" xfId="2" applyNumberFormat="1" applyFont="1" applyFill="1" applyAlignment="1">
      <alignment vertical="center"/>
    </xf>
    <xf numFmtId="15" fontId="3" fillId="0" borderId="0" xfId="0" applyNumberFormat="1" applyFont="1" applyAlignment="1">
      <alignment horizontal="center" vertical="center"/>
    </xf>
    <xf numFmtId="168" fontId="3" fillId="0" borderId="0" xfId="2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0" fontId="3" fillId="0" borderId="0" xfId="2" applyNumberFormat="1" applyFont="1" applyAlignment="1">
      <alignment vertical="center"/>
    </xf>
    <xf numFmtId="15" fontId="5" fillId="0" borderId="0" xfId="0" applyNumberFormat="1" applyFont="1" applyFill="1" applyAlignment="1">
      <alignment horizontal="center" vertical="center"/>
    </xf>
    <xf numFmtId="170" fontId="5" fillId="0" borderId="0" xfId="0" applyNumberFormat="1" applyFont="1" applyFill="1" applyAlignment="1">
      <alignment vertical="center"/>
    </xf>
    <xf numFmtId="166" fontId="5" fillId="0" borderId="0" xfId="1" applyFont="1" applyFill="1" applyAlignment="1">
      <alignment vertical="center"/>
    </xf>
    <xf numFmtId="171" fontId="0" fillId="0" borderId="0" xfId="0" applyNumberFormat="1"/>
    <xf numFmtId="172" fontId="0" fillId="0" borderId="0" xfId="1" applyNumberFormat="1" applyFont="1"/>
    <xf numFmtId="171" fontId="3" fillId="0" borderId="0" xfId="2" applyNumberFormat="1" applyFont="1" applyAlignment="1">
      <alignment vertical="center"/>
    </xf>
    <xf numFmtId="10" fontId="4" fillId="0" borderId="0" xfId="0" applyNumberFormat="1" applyFont="1"/>
    <xf numFmtId="0" fontId="0" fillId="0" borderId="0" xfId="0" applyAlignment="1"/>
    <xf numFmtId="9" fontId="0" fillId="0" borderId="0" xfId="0" applyNumberFormat="1"/>
    <xf numFmtId="14" fontId="4" fillId="0" borderId="0" xfId="0" applyNumberFormat="1" applyFont="1"/>
    <xf numFmtId="185" fontId="4" fillId="0" borderId="0" xfId="0" applyNumberFormat="1" applyFont="1" applyAlignment="1">
      <alignment vertical="center"/>
    </xf>
    <xf numFmtId="185" fontId="4" fillId="2" borderId="0" xfId="0" applyNumberFormat="1" applyFont="1" applyFill="1" applyAlignment="1">
      <alignment vertical="center"/>
    </xf>
    <xf numFmtId="0" fontId="16" fillId="0" borderId="0" xfId="29"/>
    <xf numFmtId="0" fontId="17" fillId="3" borderId="0" xfId="0" applyFont="1" applyFill="1" applyAlignment="1"/>
    <xf numFmtId="0" fontId="18" fillId="3" borderId="0" xfId="0" applyFont="1" applyFill="1"/>
    <xf numFmtId="0" fontId="17" fillId="3" borderId="0" xfId="0" applyFont="1" applyFill="1" applyAlignment="1">
      <alignment horizontal="left"/>
    </xf>
    <xf numFmtId="0" fontId="19" fillId="3" borderId="0" xfId="3" applyFont="1" applyFill="1" applyProtection="1">
      <protection hidden="1"/>
    </xf>
    <xf numFmtId="0" fontId="20" fillId="3" borderId="0" xfId="3" applyFont="1" applyFill="1" applyProtection="1">
      <protection hidden="1"/>
    </xf>
    <xf numFmtId="177" fontId="21" fillId="3" borderId="0" xfId="0" applyNumberFormat="1" applyFont="1" applyFill="1"/>
    <xf numFmtId="0" fontId="22" fillId="3" borderId="0" xfId="4" applyFont="1" applyFill="1"/>
    <xf numFmtId="0" fontId="23" fillId="3" borderId="0" xfId="4" applyFont="1" applyFill="1"/>
    <xf numFmtId="177" fontId="18" fillId="3" borderId="0" xfId="1" applyNumberFormat="1" applyFont="1" applyFill="1"/>
    <xf numFmtId="184" fontId="18" fillId="3" borderId="0" xfId="0" applyNumberFormat="1" applyFont="1" applyFill="1"/>
    <xf numFmtId="0" fontId="24" fillId="3" borderId="2" xfId="4" applyFont="1" applyFill="1" applyBorder="1" applyAlignment="1" applyProtection="1">
      <alignment horizontal="center"/>
      <protection hidden="1"/>
    </xf>
    <xf numFmtId="0" fontId="24" fillId="6" borderId="0" xfId="4" applyFont="1" applyFill="1" applyBorder="1"/>
    <xf numFmtId="14" fontId="24" fillId="6" borderId="0" xfId="4" applyNumberFormat="1" applyFont="1" applyFill="1" applyBorder="1" applyAlignment="1" applyProtection="1">
      <alignment horizontal="right"/>
      <protection hidden="1"/>
    </xf>
    <xf numFmtId="0" fontId="24" fillId="0" borderId="0" xfId="4" applyFont="1" applyFill="1" applyBorder="1" applyAlignment="1" applyProtection="1">
      <alignment horizontal="left"/>
      <protection hidden="1"/>
    </xf>
    <xf numFmtId="168" fontId="19" fillId="3" borderId="0" xfId="3" applyNumberFormat="1" applyFont="1" applyFill="1" applyProtection="1">
      <protection hidden="1"/>
    </xf>
    <xf numFmtId="9" fontId="22" fillId="3" borderId="0" xfId="6" applyFont="1" applyFill="1"/>
    <xf numFmtId="164" fontId="19" fillId="3" borderId="0" xfId="3" applyNumberFormat="1" applyFont="1" applyFill="1" applyProtection="1">
      <protection hidden="1"/>
    </xf>
    <xf numFmtId="174" fontId="22" fillId="3" borderId="0" xfId="4" applyNumberFormat="1" applyFont="1" applyFill="1"/>
    <xf numFmtId="0" fontId="24" fillId="3" borderId="2" xfId="4" applyFont="1" applyFill="1" applyBorder="1" applyAlignment="1" applyProtection="1">
      <alignment horizontal="center" vertical="center" wrapText="1"/>
      <protection hidden="1"/>
    </xf>
    <xf numFmtId="173" fontId="24" fillId="0" borderId="0" xfId="5" applyNumberFormat="1" applyFont="1" applyFill="1" applyBorder="1" applyProtection="1">
      <protection hidden="1"/>
    </xf>
    <xf numFmtId="166" fontId="22" fillId="3" borderId="0" xfId="1" applyFont="1" applyFill="1"/>
    <xf numFmtId="175" fontId="19" fillId="3" borderId="0" xfId="1" applyNumberFormat="1" applyFont="1" applyFill="1" applyProtection="1">
      <protection hidden="1"/>
    </xf>
    <xf numFmtId="173" fontId="18" fillId="3" borderId="0" xfId="0" applyNumberFormat="1" applyFont="1" applyFill="1"/>
    <xf numFmtId="10" fontId="19" fillId="3" borderId="0" xfId="2" applyNumberFormat="1" applyFont="1" applyFill="1" applyProtection="1">
      <protection hidden="1"/>
    </xf>
    <xf numFmtId="177" fontId="22" fillId="3" borderId="0" xfId="4" applyNumberFormat="1" applyFont="1" applyFill="1"/>
    <xf numFmtId="0" fontId="18" fillId="0" borderId="0" xfId="0" applyFont="1"/>
    <xf numFmtId="10" fontId="19" fillId="0" borderId="0" xfId="9" applyNumberFormat="1" applyFont="1" applyFill="1" applyBorder="1" applyAlignment="1" applyProtection="1">
      <alignment horizontal="center"/>
      <protection hidden="1"/>
    </xf>
    <xf numFmtId="166" fontId="18" fillId="0" borderId="0" xfId="1" applyFont="1"/>
    <xf numFmtId="177" fontId="18" fillId="0" borderId="0" xfId="1" applyNumberFormat="1" applyFont="1"/>
    <xf numFmtId="171" fontId="18" fillId="0" borderId="0" xfId="0" applyNumberFormat="1" applyFont="1"/>
    <xf numFmtId="0" fontId="25" fillId="0" borderId="0" xfId="0" applyFont="1" applyBorder="1" applyAlignment="1">
      <alignment horizontal="center"/>
    </xf>
    <xf numFmtId="0" fontId="18" fillId="0" borderId="0" xfId="0" applyFont="1" applyBorder="1" applyAlignment="1">
      <alignment vertical="top" wrapText="1"/>
    </xf>
    <xf numFmtId="0" fontId="25" fillId="0" borderId="8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5" fillId="0" borderId="0" xfId="0" applyFont="1"/>
    <xf numFmtId="14" fontId="18" fillId="0" borderId="8" xfId="0" applyNumberFormat="1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164" fontId="18" fillId="0" borderId="12" xfId="0" applyNumberFormat="1" applyFont="1" applyBorder="1"/>
    <xf numFmtId="164" fontId="18" fillId="0" borderId="0" xfId="0" applyNumberFormat="1" applyFont="1" applyBorder="1"/>
    <xf numFmtId="177" fontId="18" fillId="0" borderId="0" xfId="1" applyNumberFormat="1" applyFont="1" applyBorder="1" applyAlignment="1">
      <alignment vertical="top" wrapText="1"/>
    </xf>
    <xf numFmtId="177" fontId="18" fillId="0" borderId="0" xfId="0" applyNumberFormat="1" applyFont="1"/>
    <xf numFmtId="164" fontId="18" fillId="0" borderId="0" xfId="0" applyNumberFormat="1" applyFont="1"/>
    <xf numFmtId="164" fontId="27" fillId="0" borderId="0" xfId="0" applyNumberFormat="1" applyFont="1"/>
    <xf numFmtId="176" fontId="18" fillId="0" borderId="0" xfId="0" applyNumberFormat="1" applyFont="1" applyBorder="1" applyAlignment="1">
      <alignment horizontal="center"/>
    </xf>
    <xf numFmtId="171" fontId="19" fillId="0" borderId="12" xfId="9" applyNumberFormat="1" applyFont="1" applyFill="1" applyBorder="1" applyAlignment="1" applyProtection="1">
      <alignment horizontal="center"/>
      <protection hidden="1"/>
    </xf>
    <xf numFmtId="171" fontId="22" fillId="0" borderId="0" xfId="6" applyNumberFormat="1" applyFont="1" applyBorder="1"/>
    <xf numFmtId="164" fontId="18" fillId="0" borderId="13" xfId="0" applyNumberFormat="1" applyFont="1" applyBorder="1"/>
    <xf numFmtId="164" fontId="25" fillId="0" borderId="14" xfId="0" applyNumberFormat="1" applyFont="1" applyBorder="1"/>
    <xf numFmtId="14" fontId="18" fillId="0" borderId="0" xfId="0" applyNumberFormat="1" applyFont="1" applyAlignment="1">
      <alignment horizontal="center"/>
    </xf>
    <xf numFmtId="166" fontId="30" fillId="0" borderId="0" xfId="1" applyFont="1" applyFill="1" applyBorder="1"/>
    <xf numFmtId="0" fontId="21" fillId="0" borderId="0" xfId="0" applyFont="1"/>
    <xf numFmtId="166" fontId="21" fillId="0" borderId="0" xfId="1" applyFont="1"/>
    <xf numFmtId="14" fontId="19" fillId="3" borderId="0" xfId="4" applyNumberFormat="1" applyFont="1" applyFill="1" applyBorder="1" applyAlignment="1" applyProtection="1">
      <alignment horizontal="center"/>
      <protection hidden="1"/>
    </xf>
    <xf numFmtId="173" fontId="19" fillId="0" borderId="2" xfId="5" applyNumberFormat="1" applyFont="1" applyFill="1" applyBorder="1" applyAlignment="1" applyProtection="1">
      <alignment horizontal="right"/>
      <protection hidden="1"/>
    </xf>
    <xf numFmtId="10" fontId="19" fillId="0" borderId="2" xfId="4" applyNumberFormat="1" applyFont="1" applyFill="1" applyBorder="1" applyAlignment="1" applyProtection="1">
      <alignment horizontal="right"/>
      <protection hidden="1"/>
    </xf>
    <xf numFmtId="174" fontId="19" fillId="0" borderId="2" xfId="4" applyNumberFormat="1" applyFont="1" applyFill="1" applyBorder="1" applyAlignment="1" applyProtection="1">
      <alignment horizontal="right" vertical="center" wrapText="1"/>
      <protection hidden="1"/>
    </xf>
    <xf numFmtId="14" fontId="19" fillId="0" borderId="2" xfId="4" applyNumberFormat="1" applyFont="1" applyFill="1" applyBorder="1" applyAlignment="1" applyProtection="1">
      <alignment vertical="center"/>
      <protection hidden="1"/>
    </xf>
    <xf numFmtId="166" fontId="19" fillId="0" borderId="2" xfId="1" applyFont="1" applyFill="1" applyBorder="1" applyAlignment="1" applyProtection="1">
      <alignment vertical="center"/>
      <protection hidden="1"/>
    </xf>
    <xf numFmtId="0" fontId="26" fillId="7" borderId="2" xfId="4" applyFont="1" applyFill="1" applyBorder="1" applyAlignment="1">
      <alignment horizontal="center" vertical="center"/>
    </xf>
    <xf numFmtId="0" fontId="31" fillId="8" borderId="2" xfId="4" applyFont="1" applyFill="1" applyBorder="1" applyAlignment="1" applyProtection="1">
      <alignment horizontal="center"/>
      <protection hidden="1"/>
    </xf>
    <xf numFmtId="14" fontId="29" fillId="7" borderId="2" xfId="0" applyNumberFormat="1" applyFont="1" applyFill="1" applyBorder="1" applyAlignment="1">
      <alignment horizontal="center"/>
    </xf>
    <xf numFmtId="14" fontId="28" fillId="7" borderId="2" xfId="0" applyNumberFormat="1" applyFont="1" applyFill="1" applyBorder="1" applyAlignment="1">
      <alignment horizontal="center"/>
    </xf>
    <xf numFmtId="164" fontId="29" fillId="7" borderId="2" xfId="0" applyNumberFormat="1" applyFont="1" applyFill="1" applyBorder="1"/>
    <xf numFmtId="14" fontId="25" fillId="0" borderId="15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164" fontId="25" fillId="0" borderId="15" xfId="0" applyNumberFormat="1" applyFont="1" applyBorder="1" applyAlignment="1">
      <alignment horizontal="center"/>
    </xf>
    <xf numFmtId="173" fontId="25" fillId="0" borderId="15" xfId="0" applyNumberFormat="1" applyFont="1" applyBorder="1" applyAlignment="1">
      <alignment horizontal="center"/>
    </xf>
    <xf numFmtId="14" fontId="18" fillId="0" borderId="13" xfId="0" applyNumberFormat="1" applyFont="1" applyBorder="1" applyAlignment="1">
      <alignment horizontal="center"/>
    </xf>
    <xf numFmtId="171" fontId="18" fillId="0" borderId="13" xfId="0" applyNumberFormat="1" applyFont="1" applyBorder="1" applyAlignment="1">
      <alignment horizontal="center"/>
    </xf>
    <xf numFmtId="173" fontId="18" fillId="0" borderId="13" xfId="0" applyNumberFormat="1" applyFont="1" applyBorder="1"/>
    <xf numFmtId="0" fontId="32" fillId="9" borderId="0" xfId="0" applyFont="1" applyFill="1" applyBorder="1" applyAlignment="1" applyProtection="1">
      <alignment wrapText="1"/>
      <protection hidden="1"/>
    </xf>
    <xf numFmtId="0" fontId="32" fillId="9" borderId="0" xfId="0" applyFont="1" applyFill="1" applyBorder="1" applyAlignment="1" applyProtection="1">
      <alignment vertical="center" wrapText="1"/>
      <protection hidden="1"/>
    </xf>
    <xf numFmtId="0" fontId="33" fillId="9" borderId="0" xfId="0" applyFont="1" applyFill="1" applyBorder="1" applyAlignment="1" applyProtection="1">
      <alignment vertical="center" wrapText="1"/>
      <protection hidden="1"/>
    </xf>
    <xf numFmtId="0" fontId="19" fillId="9" borderId="0" xfId="0" applyFont="1" applyFill="1" applyBorder="1" applyAlignment="1" applyProtection="1">
      <alignment vertical="center"/>
      <protection hidden="1"/>
    </xf>
    <xf numFmtId="0" fontId="34" fillId="9" borderId="0" xfId="0" applyFont="1" applyFill="1" applyBorder="1" applyAlignment="1" applyProtection="1">
      <alignment vertical="center" wrapText="1"/>
      <protection hidden="1"/>
    </xf>
    <xf numFmtId="17" fontId="35" fillId="9" borderId="0" xfId="0" applyNumberFormat="1" applyFont="1" applyFill="1" applyAlignment="1" applyProtection="1">
      <alignment vertical="center" wrapText="1"/>
      <protection hidden="1"/>
    </xf>
    <xf numFmtId="0" fontId="36" fillId="3" borderId="0" xfId="0" applyFont="1" applyFill="1" applyAlignment="1"/>
    <xf numFmtId="10" fontId="37" fillId="10" borderId="0" xfId="2" applyNumberFormat="1" applyFont="1" applyFill="1" applyAlignment="1">
      <alignment vertical="center"/>
    </xf>
    <xf numFmtId="0" fontId="38" fillId="3" borderId="0" xfId="0" applyFont="1" applyFill="1"/>
    <xf numFmtId="10" fontId="24" fillId="11" borderId="2" xfId="4" applyNumberFormat="1" applyFont="1" applyFill="1" applyBorder="1" applyAlignment="1" applyProtection="1">
      <alignment horizontal="right"/>
      <protection locked="0" hidden="1"/>
    </xf>
    <xf numFmtId="10" fontId="19" fillId="0" borderId="2" xfId="4" applyNumberFormat="1" applyFont="1" applyFill="1" applyBorder="1" applyAlignment="1" applyProtection="1">
      <alignment vertical="center"/>
      <protection hidden="1"/>
    </xf>
    <xf numFmtId="0" fontId="24" fillId="6" borderId="2" xfId="4" applyFont="1" applyFill="1" applyBorder="1" applyAlignment="1" applyProtection="1">
      <alignment horizontal="center" vertical="center" wrapText="1"/>
      <protection hidden="1"/>
    </xf>
    <xf numFmtId="175" fontId="24" fillId="6" borderId="2" xfId="7" applyNumberFormat="1" applyFont="1" applyFill="1" applyBorder="1" applyAlignment="1" applyProtection="1">
      <alignment vertical="center"/>
      <protection hidden="1"/>
    </xf>
    <xf numFmtId="0" fontId="39" fillId="3" borderId="0" xfId="0" applyFont="1" applyFill="1" applyAlignment="1">
      <alignment horizontal="left" indent="1"/>
    </xf>
    <xf numFmtId="10" fontId="19" fillId="12" borderId="2" xfId="4" applyNumberFormat="1" applyFont="1" applyFill="1" applyBorder="1" applyAlignment="1" applyProtection="1">
      <alignment vertical="center"/>
      <protection hidden="1"/>
    </xf>
    <xf numFmtId="164" fontId="22" fillId="0" borderId="15" xfId="0" applyNumberFormat="1" applyFont="1" applyBorder="1" applyAlignment="1">
      <alignment horizontal="center"/>
    </xf>
    <xf numFmtId="10" fontId="24" fillId="11" borderId="2" xfId="4" applyNumberFormat="1" applyFont="1" applyFill="1" applyBorder="1" applyAlignment="1" applyProtection="1">
      <alignment vertical="center"/>
      <protection locked="0" hidden="1"/>
    </xf>
    <xf numFmtId="0" fontId="40" fillId="6" borderId="2" xfId="0" applyFont="1" applyFill="1" applyBorder="1" applyAlignment="1">
      <alignment horizontal="center"/>
    </xf>
    <xf numFmtId="174" fontId="41" fillId="6" borderId="2" xfId="4" applyNumberFormat="1" applyFont="1" applyFill="1" applyBorder="1" applyAlignment="1" applyProtection="1">
      <alignment horizontal="right" vertical="center" wrapText="1"/>
      <protection hidden="1"/>
    </xf>
    <xf numFmtId="10" fontId="18" fillId="0" borderId="0" xfId="0" applyNumberFormat="1" applyFont="1"/>
    <xf numFmtId="2" fontId="4" fillId="0" borderId="0" xfId="0" applyNumberFormat="1" applyFont="1"/>
    <xf numFmtId="0" fontId="4" fillId="0" borderId="0" xfId="0" applyFont="1"/>
    <xf numFmtId="186" fontId="18" fillId="0" borderId="13" xfId="0" applyNumberFormat="1" applyFont="1" applyBorder="1" applyAlignment="1">
      <alignment horizontal="center"/>
    </xf>
    <xf numFmtId="186" fontId="25" fillId="0" borderId="15" xfId="0" applyNumberFormat="1" applyFont="1" applyBorder="1" applyAlignment="1">
      <alignment horizontal="center"/>
    </xf>
    <xf numFmtId="14" fontId="44" fillId="13" borderId="19" xfId="0" applyNumberFormat="1" applyFont="1" applyFill="1" applyBorder="1" applyAlignment="1">
      <alignment vertical="center" wrapText="1"/>
    </xf>
    <xf numFmtId="0" fontId="43" fillId="13" borderId="20" xfId="0" applyFont="1" applyFill="1" applyBorder="1" applyAlignment="1">
      <alignment horizontal="center" wrapText="1"/>
    </xf>
    <xf numFmtId="187" fontId="43" fillId="13" borderId="20" xfId="0" applyNumberFormat="1" applyFont="1" applyFill="1" applyBorder="1" applyAlignment="1">
      <alignment horizontal="center" wrapText="1"/>
    </xf>
    <xf numFmtId="187" fontId="44" fillId="13" borderId="19" xfId="0" applyNumberFormat="1" applyFont="1" applyFill="1" applyBorder="1" applyAlignment="1">
      <alignment horizontal="right" vertical="center" wrapText="1"/>
    </xf>
    <xf numFmtId="187" fontId="0" fillId="0" borderId="0" xfId="0" applyNumberFormat="1"/>
    <xf numFmtId="10" fontId="24" fillId="0" borderId="2" xfId="4" applyNumberFormat="1" applyFont="1" applyFill="1" applyBorder="1" applyAlignment="1" applyProtection="1">
      <alignment horizontal="right"/>
      <protection hidden="1"/>
    </xf>
    <xf numFmtId="14" fontId="45" fillId="14" borderId="19" xfId="0" applyNumberFormat="1" applyFont="1" applyFill="1" applyBorder="1" applyAlignment="1">
      <alignment vertical="center" wrapText="1"/>
    </xf>
    <xf numFmtId="0" fontId="45" fillId="14" borderId="19" xfId="0" applyFont="1" applyFill="1" applyBorder="1" applyAlignment="1">
      <alignment horizontal="right" vertical="center" wrapText="1"/>
    </xf>
    <xf numFmtId="14" fontId="45" fillId="13" borderId="19" xfId="0" applyNumberFormat="1" applyFont="1" applyFill="1" applyBorder="1" applyAlignment="1">
      <alignment vertical="center" wrapText="1"/>
    </xf>
    <xf numFmtId="0" fontId="45" fillId="13" borderId="19" xfId="0" applyFont="1" applyFill="1" applyBorder="1" applyAlignment="1">
      <alignment horizontal="right" vertical="center" wrapText="1"/>
    </xf>
    <xf numFmtId="0" fontId="26" fillId="7" borderId="16" xfId="4" applyNumberFormat="1" applyFont="1" applyFill="1" applyBorder="1" applyAlignment="1">
      <alignment horizontal="center" vertical="center"/>
    </xf>
    <xf numFmtId="0" fontId="26" fillId="7" borderId="17" xfId="4" applyNumberFormat="1" applyFont="1" applyFill="1" applyBorder="1" applyAlignment="1">
      <alignment horizontal="center" vertical="center"/>
    </xf>
    <xf numFmtId="0" fontId="26" fillId="7" borderId="18" xfId="4" applyNumberFormat="1" applyFont="1" applyFill="1" applyBorder="1" applyAlignment="1">
      <alignment horizontal="center" vertical="center"/>
    </xf>
    <xf numFmtId="17" fontId="35" fillId="9" borderId="0" xfId="0" applyNumberFormat="1" applyFont="1" applyFill="1" applyAlignment="1" applyProtection="1">
      <alignment horizontal="center" vertical="center" wrapText="1"/>
      <protection hidden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6" fillId="7" borderId="2" xfId="4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</cellXfs>
  <cellStyles count="31">
    <cellStyle name="Cambiar to&amp;do" xfId="11"/>
    <cellStyle name="Comma 2" xfId="12"/>
    <cellStyle name="Comma 3" xfId="8"/>
    <cellStyle name="Currency 2" xfId="13"/>
    <cellStyle name="Currency 3" xfId="10"/>
    <cellStyle name="Date dd-mmm" xfId="14"/>
    <cellStyle name="Date dd-mmm-yy" xfId="15"/>
    <cellStyle name="Date mmm-yy" xfId="16"/>
    <cellStyle name="Deviant" xfId="17"/>
    <cellStyle name="Euro" xfId="18"/>
    <cellStyle name="form" xfId="19"/>
    <cellStyle name="Hipervínculo" xfId="29" builtinId="8"/>
    <cellStyle name="Millares" xfId="1" builtinId="3"/>
    <cellStyle name="Millares_Calculadora Garbarino 45_v1" xfId="7"/>
    <cellStyle name="Moneda_Calculadora Garbarino 45_v1" xfId="5"/>
    <cellStyle name="Normal" xfId="0" builtinId="0"/>
    <cellStyle name="Normal 2" xfId="20"/>
    <cellStyle name="Normal 2 2" xfId="9"/>
    <cellStyle name="Normal 4" xfId="30"/>
    <cellStyle name="Normal millions" xfId="21"/>
    <cellStyle name="Normal one decimal" xfId="22"/>
    <cellStyle name="Normal thousands" xfId="23"/>
    <cellStyle name="Normal two decimals" xfId="24"/>
    <cellStyle name="Normal_Calculadora Garbarino 45_v1" xfId="4"/>
    <cellStyle name="Normal_Flujos S XXXIV Garba" xfId="3"/>
    <cellStyle name="Percent 2" xfId="25"/>
    <cellStyle name="Percent 3" xfId="6"/>
    <cellStyle name="Porcentaje" xfId="2" builtinId="5"/>
    <cellStyle name="Text" xfId="26"/>
    <cellStyle name="Work in progress" xfId="27"/>
    <cellStyle name="Year" xfId="28"/>
  </cellStyles>
  <dxfs count="0"/>
  <tableStyles count="0" defaultTableStyle="TableStyleMedium2" defaultPivotStyle="PivotStyleLight16"/>
  <colors>
    <mruColors>
      <color rgb="FF002269"/>
      <color rgb="FFBCBCBE"/>
      <color rgb="FFCF10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105833</xdr:colOff>
      <xdr:row>0</xdr:row>
      <xdr:rowOff>0</xdr:rowOff>
    </xdr:from>
    <xdr:to>
      <xdr:col>9</xdr:col>
      <xdr:colOff>276655</xdr:colOff>
      <xdr:row>3</xdr:row>
      <xdr:rowOff>5062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08" y="0"/>
          <a:ext cx="1754352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23812</xdr:colOff>
      <xdr:row>0</xdr:row>
      <xdr:rowOff>47626</xdr:rowOff>
    </xdr:from>
    <xdr:to>
      <xdr:col>13</xdr:col>
      <xdr:colOff>1297622</xdr:colOff>
      <xdr:row>2</xdr:row>
      <xdr:rowOff>190501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4" t="16919" r="65689" b="69788"/>
        <a:stretch>
          <a:fillRect/>
        </a:stretch>
      </xdr:blipFill>
      <xdr:spPr bwMode="auto">
        <a:xfrm>
          <a:off x="8465343" y="47626"/>
          <a:ext cx="127381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105833</xdr:colOff>
      <xdr:row>0</xdr:row>
      <xdr:rowOff>0</xdr:rowOff>
    </xdr:from>
    <xdr:to>
      <xdr:col>9</xdr:col>
      <xdr:colOff>276654</xdr:colOff>
      <xdr:row>3</xdr:row>
      <xdr:rowOff>5062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08" y="0"/>
          <a:ext cx="1754352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23810</xdr:colOff>
      <xdr:row>0</xdr:row>
      <xdr:rowOff>47625</xdr:rowOff>
    </xdr:from>
    <xdr:to>
      <xdr:col>13</xdr:col>
      <xdr:colOff>1297620</xdr:colOff>
      <xdr:row>2</xdr:row>
      <xdr:rowOff>190500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4" t="16919" r="65689" b="69788"/>
        <a:stretch>
          <a:fillRect/>
        </a:stretch>
      </xdr:blipFill>
      <xdr:spPr bwMode="auto">
        <a:xfrm>
          <a:off x="8465341" y="47625"/>
          <a:ext cx="127381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V79"/>
  <sheetViews>
    <sheetView showGridLines="0" workbookViewId="0">
      <pane ySplit="2" topLeftCell="A3" activePane="bottomLeft" state="frozen"/>
      <selection activeCell="K17" sqref="K17"/>
      <selection pane="bottomLeft" activeCell="A3" sqref="A3"/>
    </sheetView>
  </sheetViews>
  <sheetFormatPr baseColWidth="10" defaultColWidth="9.140625" defaultRowHeight="15" x14ac:dyDescent="0.25"/>
  <cols>
    <col min="1" max="1" width="2.85546875" customWidth="1"/>
    <col min="2" max="2" width="10.140625" bestFit="1" customWidth="1"/>
    <col min="3" max="3" width="10.140625" customWidth="1"/>
    <col min="8" max="8" width="8.85546875" bestFit="1" customWidth="1"/>
    <col min="9" max="9" width="15.7109375" bestFit="1" customWidth="1"/>
    <col min="10" max="10" width="10.28515625" bestFit="1" customWidth="1"/>
    <col min="11" max="11" width="8.7109375" bestFit="1" customWidth="1"/>
    <col min="12" max="12" width="7.7109375" bestFit="1" customWidth="1"/>
    <col min="13" max="13" width="2.85546875" customWidth="1"/>
    <col min="14" max="14" width="10.7109375" bestFit="1" customWidth="1"/>
    <col min="18" max="18" width="10.7109375" bestFit="1" customWidth="1"/>
    <col min="19" max="19" width="10.140625" bestFit="1" customWidth="1"/>
  </cols>
  <sheetData>
    <row r="1" spans="2:22" x14ac:dyDescent="0.25">
      <c r="I1" s="33"/>
    </row>
    <row r="2" spans="2:22" x14ac:dyDescent="0.25">
      <c r="B2" s="1" t="s">
        <v>0</v>
      </c>
    </row>
    <row r="4" spans="2:22" x14ac:dyDescent="0.25">
      <c r="B4" s="2" t="s">
        <v>1</v>
      </c>
      <c r="C4" s="3" t="s">
        <v>81</v>
      </c>
      <c r="I4" s="4" t="s">
        <v>47</v>
      </c>
      <c r="J4" s="4" t="s">
        <v>2</v>
      </c>
      <c r="K4" s="4" t="s">
        <v>3</v>
      </c>
      <c r="L4" s="4" t="s">
        <v>4</v>
      </c>
      <c r="M4" s="28"/>
      <c r="N4" s="28"/>
      <c r="O4" s="6"/>
      <c r="P4" s="6"/>
      <c r="Q4" s="6"/>
      <c r="R4" s="6"/>
    </row>
    <row r="5" spans="2:22" x14ac:dyDescent="0.25">
      <c r="B5" s="2" t="s">
        <v>5</v>
      </c>
      <c r="C5" s="5">
        <v>44061</v>
      </c>
      <c r="E5" s="2" t="s">
        <v>34</v>
      </c>
      <c r="F5" s="5">
        <v>44043</v>
      </c>
      <c r="I5" s="5">
        <f>EOMONTH(J5,-1)</f>
        <v>44074</v>
      </c>
      <c r="J5" s="5">
        <v>44095</v>
      </c>
      <c r="K5" s="6">
        <v>9097931</v>
      </c>
      <c r="L5" s="27">
        <f>'Calculadora VDFA'!$M$6</f>
        <v>0.2969</v>
      </c>
      <c r="M5" s="27"/>
      <c r="N5" s="126"/>
      <c r="O5" s="6"/>
      <c r="P5" s="6"/>
      <c r="Q5" s="6"/>
      <c r="R5" s="6"/>
    </row>
    <row r="6" spans="2:22" x14ac:dyDescent="0.25">
      <c r="I6" s="5">
        <f t="shared" ref="I6:I37" si="0">EOMONTH(J6,-1)</f>
        <v>44104</v>
      </c>
      <c r="J6" s="5">
        <v>44124</v>
      </c>
      <c r="K6" s="6">
        <v>10213320</v>
      </c>
      <c r="L6" s="27">
        <f>'Calculadora VDFA'!$M$6</f>
        <v>0.2969</v>
      </c>
      <c r="N6" s="126"/>
      <c r="O6" s="6"/>
      <c r="P6" s="6"/>
      <c r="Q6" s="6"/>
      <c r="R6" s="6"/>
    </row>
    <row r="7" spans="2:22" x14ac:dyDescent="0.25">
      <c r="B7" s="8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I7" s="5">
        <f t="shared" si="0"/>
        <v>44135</v>
      </c>
      <c r="J7" s="5">
        <v>44155</v>
      </c>
      <c r="K7" s="6">
        <v>10221485</v>
      </c>
      <c r="L7" s="27">
        <f>'Calculadora VDFA'!$M$6</f>
        <v>0.2969</v>
      </c>
      <c r="N7" s="126"/>
      <c r="O7" s="6"/>
      <c r="P7" s="6"/>
      <c r="Q7" s="6"/>
      <c r="R7" s="6"/>
    </row>
    <row r="8" spans="2:22" x14ac:dyDescent="0.25">
      <c r="B8" s="9" t="s">
        <v>12</v>
      </c>
      <c r="C8" s="6">
        <v>88800000</v>
      </c>
      <c r="D8" s="7">
        <v>0.3</v>
      </c>
      <c r="E8" s="7">
        <v>0.01</v>
      </c>
      <c r="F8" s="7">
        <v>0.4</v>
      </c>
      <c r="G8" s="113"/>
      <c r="H8" s="127" t="s">
        <v>78</v>
      </c>
      <c r="I8" s="5">
        <f t="shared" si="0"/>
        <v>44165</v>
      </c>
      <c r="J8" s="5">
        <v>44186</v>
      </c>
      <c r="K8" s="6">
        <v>9976092</v>
      </c>
      <c r="L8" s="27">
        <f>'Calculadora VDFA'!$M$6</f>
        <v>0.2969</v>
      </c>
      <c r="N8" s="126"/>
      <c r="O8" s="6"/>
      <c r="P8" s="6"/>
      <c r="Q8" s="6"/>
      <c r="R8" s="6"/>
      <c r="S8" s="10"/>
      <c r="T8" s="10"/>
      <c r="U8" s="10"/>
      <c r="V8" s="10"/>
    </row>
    <row r="9" spans="2:22" x14ac:dyDescent="0.25">
      <c r="B9" s="9" t="s">
        <v>13</v>
      </c>
      <c r="C9" s="6">
        <v>3677569</v>
      </c>
      <c r="D9" s="7">
        <v>0.31</v>
      </c>
      <c r="E9" s="7">
        <v>0.03</v>
      </c>
      <c r="F9" s="7">
        <v>0.41</v>
      </c>
      <c r="G9" s="113"/>
      <c r="H9" s="127" t="s">
        <v>80</v>
      </c>
      <c r="I9" s="5">
        <f t="shared" si="0"/>
        <v>44196</v>
      </c>
      <c r="J9" s="5">
        <v>44216</v>
      </c>
      <c r="K9" s="6">
        <v>10081787</v>
      </c>
      <c r="L9" s="27">
        <f>'Calculadora VDFA'!$M$6</f>
        <v>0.2969</v>
      </c>
      <c r="N9" s="126"/>
      <c r="O9" s="6"/>
      <c r="P9" s="6"/>
      <c r="Q9" s="6"/>
      <c r="R9" s="6"/>
      <c r="S9" s="10"/>
      <c r="T9" s="10"/>
      <c r="U9" s="10"/>
      <c r="V9" s="10"/>
    </row>
    <row r="10" spans="2:22" x14ac:dyDescent="0.25">
      <c r="B10" s="9" t="s">
        <v>14</v>
      </c>
      <c r="C10" s="6"/>
      <c r="D10" s="7"/>
      <c r="E10" s="7"/>
      <c r="F10" s="7"/>
      <c r="G10" s="113"/>
      <c r="H10" s="127"/>
      <c r="I10" s="5">
        <f t="shared" si="0"/>
        <v>44227</v>
      </c>
      <c r="J10" s="5">
        <v>44249</v>
      </c>
      <c r="K10" s="6">
        <v>10103823</v>
      </c>
      <c r="L10" s="27">
        <f>'Calculadora VDFA'!$M$6</f>
        <v>0.2969</v>
      </c>
      <c r="N10" s="126"/>
      <c r="O10" s="6"/>
      <c r="P10" s="6"/>
      <c r="Q10" s="6"/>
      <c r="R10" s="6"/>
      <c r="S10" s="10"/>
      <c r="T10" s="10"/>
      <c r="U10" s="10"/>
      <c r="V10" s="10"/>
    </row>
    <row r="11" spans="2:22" x14ac:dyDescent="0.25">
      <c r="B11" s="9" t="s">
        <v>15</v>
      </c>
      <c r="C11" s="6"/>
      <c r="D11" s="7"/>
      <c r="E11" s="7"/>
      <c r="F11" s="7"/>
      <c r="G11" s="113"/>
      <c r="H11" s="127"/>
      <c r="I11" s="5">
        <f t="shared" si="0"/>
        <v>44255</v>
      </c>
      <c r="J11" s="5">
        <v>44277</v>
      </c>
      <c r="K11" s="6">
        <v>9997213</v>
      </c>
      <c r="L11" s="27">
        <f>'Calculadora VDFA'!$M$6</f>
        <v>0.2969</v>
      </c>
      <c r="N11" s="126"/>
      <c r="O11" s="6"/>
      <c r="P11" s="6"/>
      <c r="Q11" s="6"/>
      <c r="R11" s="6"/>
      <c r="S11" s="10"/>
      <c r="T11" s="10"/>
      <c r="U11" s="10"/>
      <c r="V11" s="10"/>
    </row>
    <row r="12" spans="2:22" x14ac:dyDescent="0.25">
      <c r="I12" s="5">
        <f t="shared" si="0"/>
        <v>44286</v>
      </c>
      <c r="J12" s="5">
        <v>44306</v>
      </c>
      <c r="K12" s="6">
        <v>8747124</v>
      </c>
      <c r="L12" s="27">
        <f>'Calculadora VDFA'!$M$6</f>
        <v>0.2969</v>
      </c>
      <c r="N12" s="126"/>
      <c r="O12" s="6"/>
      <c r="P12" s="6"/>
      <c r="Q12" s="6"/>
      <c r="R12" s="6"/>
      <c r="S12" s="10"/>
      <c r="T12" s="10"/>
      <c r="U12" s="10"/>
      <c r="V12" s="10"/>
    </row>
    <row r="13" spans="2:22" x14ac:dyDescent="0.25">
      <c r="B13" s="2" t="s">
        <v>16</v>
      </c>
      <c r="C13" s="11">
        <v>1</v>
      </c>
      <c r="I13" s="5">
        <f t="shared" si="0"/>
        <v>44316</v>
      </c>
      <c r="J13" s="5">
        <v>44336</v>
      </c>
      <c r="K13" s="6">
        <v>6705072</v>
      </c>
      <c r="L13" s="27">
        <f>'Calculadora VDFA'!$M$6</f>
        <v>0.2969</v>
      </c>
      <c r="N13" s="126"/>
      <c r="O13" s="6"/>
      <c r="P13" s="6"/>
      <c r="Q13" s="6"/>
      <c r="R13" s="6"/>
      <c r="S13" s="10"/>
      <c r="T13" s="10"/>
      <c r="U13" s="10"/>
      <c r="V13" s="10"/>
    </row>
    <row r="14" spans="2:22" x14ac:dyDescent="0.25">
      <c r="I14" s="5">
        <f t="shared" si="0"/>
        <v>44347</v>
      </c>
      <c r="J14" s="5">
        <v>44368</v>
      </c>
      <c r="K14" s="6">
        <v>5374556</v>
      </c>
      <c r="L14" s="27">
        <f>'Calculadora VDFA'!$M$6</f>
        <v>0.2969</v>
      </c>
      <c r="N14" s="126"/>
      <c r="O14" s="6"/>
      <c r="P14" s="6"/>
      <c r="Q14" s="6"/>
      <c r="R14" s="6"/>
      <c r="S14" s="10"/>
      <c r="T14" s="10"/>
      <c r="U14" s="10"/>
      <c r="V14" s="10"/>
    </row>
    <row r="15" spans="2:22" x14ac:dyDescent="0.25">
      <c r="I15" s="5">
        <f t="shared" si="0"/>
        <v>44377</v>
      </c>
      <c r="J15" s="5">
        <v>44397</v>
      </c>
      <c r="K15" s="6">
        <v>5197767</v>
      </c>
      <c r="L15" s="27">
        <f>'Calculadora VDFA'!$M$6</f>
        <v>0.2969</v>
      </c>
      <c r="N15" s="126"/>
      <c r="O15" s="6"/>
      <c r="P15" s="6"/>
      <c r="Q15" s="6"/>
      <c r="R15" s="6"/>
      <c r="S15" s="10"/>
      <c r="T15" s="10"/>
      <c r="U15" s="10"/>
      <c r="V15" s="10"/>
    </row>
    <row r="16" spans="2:22" x14ac:dyDescent="0.25">
      <c r="I16" s="5">
        <f t="shared" si="0"/>
        <v>44408</v>
      </c>
      <c r="J16" s="5">
        <v>44428</v>
      </c>
      <c r="K16" s="6">
        <v>5188209</v>
      </c>
      <c r="L16" s="27">
        <f>'Calculadora VDFA'!$M$6</f>
        <v>0.2969</v>
      </c>
      <c r="N16" s="126"/>
      <c r="O16" s="6"/>
      <c r="P16" s="6"/>
      <c r="Q16" s="6"/>
      <c r="R16" s="6"/>
      <c r="S16" s="10"/>
      <c r="T16" s="10"/>
      <c r="U16" s="10"/>
      <c r="V16" s="10"/>
    </row>
    <row r="17" spans="9:22" x14ac:dyDescent="0.25">
      <c r="I17" s="5">
        <f t="shared" si="0"/>
        <v>44439</v>
      </c>
      <c r="J17" s="5">
        <v>44459</v>
      </c>
      <c r="K17" s="6">
        <v>5025561</v>
      </c>
      <c r="L17" s="27">
        <f>'Calculadora VDFA'!$M$6</f>
        <v>0.2969</v>
      </c>
      <c r="N17" s="126"/>
      <c r="O17" s="6"/>
      <c r="P17" s="6"/>
      <c r="Q17" s="6"/>
      <c r="R17" s="6"/>
      <c r="S17" s="10"/>
      <c r="T17" s="10"/>
      <c r="U17" s="10"/>
      <c r="V17" s="10"/>
    </row>
    <row r="18" spans="9:22" x14ac:dyDescent="0.25">
      <c r="I18" s="5">
        <f t="shared" si="0"/>
        <v>44469</v>
      </c>
      <c r="J18" s="5">
        <v>44489</v>
      </c>
      <c r="K18" s="6">
        <v>4359559</v>
      </c>
      <c r="L18" s="27">
        <f>'Calculadora VDFA'!$M$6</f>
        <v>0.2969</v>
      </c>
      <c r="N18" s="126"/>
      <c r="O18" s="6"/>
      <c r="P18" s="6"/>
      <c r="Q18" s="6"/>
      <c r="R18" s="6"/>
      <c r="S18" s="10"/>
      <c r="T18" s="10"/>
      <c r="U18" s="10"/>
      <c r="V18" s="10"/>
    </row>
    <row r="19" spans="9:22" x14ac:dyDescent="0.25">
      <c r="I19" s="5">
        <f t="shared" si="0"/>
        <v>44500</v>
      </c>
      <c r="J19" s="5">
        <v>44520</v>
      </c>
      <c r="K19" s="6">
        <v>3642761</v>
      </c>
      <c r="L19" s="27">
        <f>'Calculadora VDFA'!$M$6</f>
        <v>0.2969</v>
      </c>
      <c r="N19" s="30"/>
      <c r="O19" s="6"/>
      <c r="P19" s="6"/>
      <c r="Q19" s="6"/>
      <c r="R19" s="6"/>
      <c r="S19" s="10"/>
      <c r="T19" s="10"/>
      <c r="U19" s="10"/>
      <c r="V19" s="10"/>
    </row>
    <row r="20" spans="9:22" x14ac:dyDescent="0.25">
      <c r="I20" s="5">
        <f t="shared" si="0"/>
        <v>44530</v>
      </c>
      <c r="J20" s="5">
        <v>44550</v>
      </c>
      <c r="K20" s="6">
        <v>4349817</v>
      </c>
      <c r="L20" s="27">
        <f>'Calculadora VDFA'!$M$6</f>
        <v>0.2969</v>
      </c>
      <c r="N20" s="30"/>
      <c r="O20" s="6"/>
      <c r="P20" s="6"/>
      <c r="Q20" s="6"/>
      <c r="R20" s="6"/>
      <c r="S20" s="10"/>
      <c r="T20" s="10"/>
      <c r="U20" s="10"/>
      <c r="V20" s="10"/>
    </row>
    <row r="21" spans="9:22" x14ac:dyDescent="0.25">
      <c r="I21" s="5">
        <f t="shared" si="0"/>
        <v>44561</v>
      </c>
      <c r="J21" s="5">
        <v>44581</v>
      </c>
      <c r="K21" s="6">
        <v>4278356</v>
      </c>
      <c r="L21" s="27">
        <f>'Calculadora VDFA'!$M$6</f>
        <v>0.2969</v>
      </c>
      <c r="N21" s="30"/>
      <c r="O21" s="6"/>
      <c r="P21" s="6"/>
      <c r="Q21" s="6"/>
      <c r="R21" s="6"/>
      <c r="S21" s="10"/>
      <c r="T21" s="10"/>
      <c r="U21" s="10"/>
      <c r="V21" s="10"/>
    </row>
    <row r="22" spans="9:22" x14ac:dyDescent="0.25">
      <c r="I22" s="5">
        <f t="shared" si="0"/>
        <v>44592</v>
      </c>
      <c r="J22" s="5">
        <v>44612</v>
      </c>
      <c r="K22" s="6">
        <v>4139987</v>
      </c>
      <c r="L22" s="27">
        <f>'Calculadora VDFA'!$M$6</f>
        <v>0.2969</v>
      </c>
      <c r="N22" s="30"/>
      <c r="O22" s="6"/>
      <c r="P22" s="6"/>
      <c r="Q22" s="6"/>
      <c r="R22" s="6"/>
      <c r="S22" s="10"/>
    </row>
    <row r="23" spans="9:22" x14ac:dyDescent="0.25">
      <c r="I23" s="5">
        <f t="shared" si="0"/>
        <v>44620</v>
      </c>
      <c r="J23" s="5">
        <v>44640</v>
      </c>
      <c r="K23" s="6">
        <v>3820517</v>
      </c>
      <c r="L23" s="27">
        <f>'Calculadora VDFA'!$M$6</f>
        <v>0.2969</v>
      </c>
      <c r="N23" s="30"/>
      <c r="O23" s="6"/>
      <c r="P23" s="6"/>
      <c r="Q23" s="6"/>
      <c r="R23" s="6"/>
      <c r="S23" s="10"/>
      <c r="T23" s="10"/>
      <c r="U23" s="10"/>
    </row>
    <row r="24" spans="9:22" x14ac:dyDescent="0.25">
      <c r="I24" s="5">
        <f t="shared" si="0"/>
        <v>44651</v>
      </c>
      <c r="J24" s="5">
        <v>44671</v>
      </c>
      <c r="K24" s="6">
        <v>3240134</v>
      </c>
      <c r="L24" s="27">
        <f>'Calculadora VDFA'!$M$6</f>
        <v>0.2969</v>
      </c>
      <c r="N24" s="30"/>
      <c r="O24" s="6"/>
      <c r="P24" s="6"/>
      <c r="Q24" s="6"/>
      <c r="R24" s="6"/>
      <c r="S24" s="10"/>
      <c r="T24" s="10"/>
      <c r="U24" s="10"/>
    </row>
    <row r="25" spans="9:22" x14ac:dyDescent="0.25">
      <c r="I25" s="5">
        <f t="shared" si="0"/>
        <v>44681</v>
      </c>
      <c r="J25" s="5">
        <v>44701</v>
      </c>
      <c r="K25" s="6">
        <v>2508317</v>
      </c>
      <c r="L25" s="27">
        <f>'Calculadora VDFA'!$M$6</f>
        <v>0.2969</v>
      </c>
      <c r="N25" s="30"/>
      <c r="O25" s="6"/>
      <c r="P25" s="6"/>
      <c r="Q25" s="6"/>
      <c r="R25" s="6"/>
      <c r="S25" s="10"/>
      <c r="T25" s="10"/>
      <c r="U25" s="10"/>
    </row>
    <row r="26" spans="9:22" x14ac:dyDescent="0.25">
      <c r="I26" s="5">
        <f t="shared" si="0"/>
        <v>44712</v>
      </c>
      <c r="J26" s="5">
        <v>44732</v>
      </c>
      <c r="K26" s="6">
        <v>2263850</v>
      </c>
      <c r="L26" s="27">
        <f>'Calculadora VDFA'!$M$6</f>
        <v>0.2969</v>
      </c>
      <c r="N26" s="30"/>
      <c r="O26" s="6"/>
      <c r="P26" s="6"/>
      <c r="Q26" s="6"/>
      <c r="R26" s="6"/>
      <c r="S26" s="10"/>
      <c r="T26" s="10"/>
      <c r="U26" s="10"/>
    </row>
    <row r="27" spans="9:22" x14ac:dyDescent="0.25">
      <c r="I27" s="5">
        <f t="shared" si="0"/>
        <v>44742</v>
      </c>
      <c r="J27" s="5">
        <v>44762</v>
      </c>
      <c r="K27" s="6">
        <v>2145422</v>
      </c>
      <c r="L27" s="27">
        <f>'Calculadora VDFA'!$M$6</f>
        <v>0.2969</v>
      </c>
      <c r="N27" s="30"/>
      <c r="O27" s="6"/>
      <c r="P27" s="6"/>
      <c r="Q27" s="6"/>
      <c r="R27" s="6"/>
      <c r="S27" s="10"/>
      <c r="T27" s="10"/>
      <c r="U27" s="10"/>
    </row>
    <row r="28" spans="9:22" x14ac:dyDescent="0.25">
      <c r="I28" s="5">
        <f t="shared" si="0"/>
        <v>44773</v>
      </c>
      <c r="J28" s="5">
        <v>44793</v>
      </c>
      <c r="K28" s="6">
        <v>2140347</v>
      </c>
      <c r="L28" s="27">
        <f>'Calculadora VDFA'!$M$6</f>
        <v>0.2969</v>
      </c>
      <c r="N28" s="30"/>
      <c r="O28" s="6"/>
      <c r="P28" s="6"/>
      <c r="Q28" s="6"/>
      <c r="R28" s="6"/>
      <c r="S28" s="10"/>
      <c r="T28" s="10"/>
      <c r="U28" s="10"/>
    </row>
    <row r="29" spans="9:22" x14ac:dyDescent="0.25">
      <c r="I29" s="5">
        <f t="shared" si="0"/>
        <v>44804</v>
      </c>
      <c r="J29" s="5">
        <v>44824</v>
      </c>
      <c r="K29" s="6">
        <v>2075183</v>
      </c>
      <c r="L29" s="27">
        <f>'Calculadora VDFA'!$M$6</f>
        <v>0.2969</v>
      </c>
      <c r="N29" s="30"/>
      <c r="O29" s="6"/>
      <c r="P29" s="6"/>
      <c r="Q29" s="6"/>
      <c r="R29" s="6"/>
      <c r="S29" s="10"/>
      <c r="T29" s="10"/>
      <c r="U29" s="10"/>
    </row>
    <row r="30" spans="9:22" x14ac:dyDescent="0.25">
      <c r="I30" s="5">
        <f t="shared" si="0"/>
        <v>44834</v>
      </c>
      <c r="J30" s="5">
        <v>44854</v>
      </c>
      <c r="K30" s="6">
        <v>1324824</v>
      </c>
      <c r="L30" s="27">
        <f>'Calculadora VDFA'!$M$6</f>
        <v>0.2969</v>
      </c>
      <c r="N30" s="30"/>
      <c r="O30" s="6"/>
      <c r="P30" s="6"/>
      <c r="Q30" s="6"/>
      <c r="R30" s="6"/>
      <c r="S30" s="10"/>
      <c r="T30" s="10"/>
      <c r="U30" s="10"/>
    </row>
    <row r="31" spans="9:22" x14ac:dyDescent="0.25">
      <c r="I31" s="5">
        <f t="shared" si="0"/>
        <v>44865</v>
      </c>
      <c r="J31" s="5">
        <v>44885</v>
      </c>
      <c r="K31" s="6">
        <v>1277252</v>
      </c>
      <c r="L31" s="27">
        <f>'Calculadora VDFA'!$M$6</f>
        <v>0.2969</v>
      </c>
      <c r="N31" s="30"/>
      <c r="O31" s="6"/>
      <c r="P31" s="6"/>
      <c r="Q31" s="6"/>
      <c r="R31" s="6"/>
      <c r="S31" s="10"/>
      <c r="T31" s="10"/>
      <c r="U31" s="10"/>
    </row>
    <row r="32" spans="9:22" x14ac:dyDescent="0.25">
      <c r="I32" s="5">
        <f t="shared" si="0"/>
        <v>44895</v>
      </c>
      <c r="J32" s="5">
        <v>44915</v>
      </c>
      <c r="K32" s="6">
        <v>1257024</v>
      </c>
      <c r="L32" s="27">
        <f>'Calculadora VDFA'!$M$6</f>
        <v>0.2969</v>
      </c>
      <c r="N32" s="30"/>
      <c r="O32" s="6"/>
      <c r="P32" s="6"/>
      <c r="Q32" s="6"/>
      <c r="R32" s="6"/>
      <c r="S32" s="10"/>
      <c r="T32" s="10"/>
      <c r="U32" s="10"/>
    </row>
    <row r="33" spans="9:21" x14ac:dyDescent="0.25">
      <c r="I33" s="5">
        <f t="shared" si="0"/>
        <v>44926</v>
      </c>
      <c r="J33" s="5">
        <v>44946</v>
      </c>
      <c r="K33" s="6">
        <v>1257173</v>
      </c>
      <c r="L33" s="27">
        <f>'Calculadora VDFA'!$M$6</f>
        <v>0.2969</v>
      </c>
      <c r="N33" s="30"/>
      <c r="O33" s="6"/>
      <c r="P33" s="6"/>
      <c r="Q33" s="6"/>
      <c r="R33" s="6"/>
      <c r="S33" s="10"/>
      <c r="T33" s="10"/>
      <c r="U33" s="10"/>
    </row>
    <row r="34" spans="9:21" x14ac:dyDescent="0.25">
      <c r="I34" s="5">
        <f t="shared" si="0"/>
        <v>44957</v>
      </c>
      <c r="J34" s="5">
        <v>44977</v>
      </c>
      <c r="K34" s="6">
        <v>990192</v>
      </c>
      <c r="L34" s="27">
        <f>'Calculadora VDFA'!$M$6</f>
        <v>0.2969</v>
      </c>
      <c r="N34" s="30"/>
      <c r="O34" s="6"/>
      <c r="P34" s="6"/>
      <c r="Q34" s="6"/>
      <c r="R34" s="6"/>
      <c r="S34" s="10"/>
      <c r="T34" s="10"/>
      <c r="U34" s="10"/>
    </row>
    <row r="35" spans="9:21" x14ac:dyDescent="0.25">
      <c r="I35" s="5">
        <f t="shared" si="0"/>
        <v>44985</v>
      </c>
      <c r="J35" s="5">
        <v>45005</v>
      </c>
      <c r="K35" s="6">
        <v>545050</v>
      </c>
      <c r="L35" s="27">
        <f>'Calculadora VDFA'!$M$6</f>
        <v>0.2969</v>
      </c>
      <c r="N35" s="30"/>
      <c r="O35" s="6"/>
      <c r="P35" s="6"/>
      <c r="Q35" s="6"/>
      <c r="R35" s="6"/>
      <c r="S35" s="10"/>
      <c r="T35" s="10"/>
      <c r="U35" s="10"/>
    </row>
    <row r="36" spans="9:21" x14ac:dyDescent="0.25">
      <c r="I36" s="5">
        <f t="shared" si="0"/>
        <v>45016</v>
      </c>
      <c r="J36" s="5">
        <v>45036</v>
      </c>
      <c r="K36" s="6">
        <v>232586</v>
      </c>
      <c r="L36" s="27">
        <f>'Calculadora VDFA'!$M$6</f>
        <v>0.2969</v>
      </c>
      <c r="N36" s="30"/>
      <c r="O36" s="6"/>
      <c r="P36" s="6"/>
      <c r="Q36" s="6"/>
      <c r="R36" s="6"/>
      <c r="S36" s="10"/>
      <c r="T36" s="10"/>
      <c r="U36" s="10"/>
    </row>
    <row r="37" spans="9:21" x14ac:dyDescent="0.25">
      <c r="I37" s="5">
        <f t="shared" si="0"/>
        <v>45046</v>
      </c>
      <c r="J37" s="5">
        <v>45066</v>
      </c>
      <c r="K37" s="6">
        <v>19580</v>
      </c>
      <c r="L37" s="27">
        <f>'Calculadora VDFA'!$M$6</f>
        <v>0.2969</v>
      </c>
      <c r="N37" s="30"/>
      <c r="O37" s="6"/>
      <c r="P37" s="6"/>
      <c r="Q37" s="6"/>
      <c r="R37" s="6"/>
      <c r="S37" s="10"/>
      <c r="T37" s="10"/>
      <c r="U37" s="10"/>
    </row>
    <row r="38" spans="9:21" x14ac:dyDescent="0.25">
      <c r="I38" s="5"/>
      <c r="J38" s="5"/>
      <c r="K38" s="6"/>
      <c r="L38" s="27">
        <f>'Calculadora VDFA'!$M$6</f>
        <v>0.2969</v>
      </c>
      <c r="N38" s="30"/>
      <c r="O38" s="6"/>
      <c r="P38" s="6"/>
      <c r="Q38" s="6"/>
      <c r="R38" s="6"/>
      <c r="S38" s="10"/>
      <c r="T38" s="10"/>
      <c r="U38" s="10"/>
    </row>
    <row r="39" spans="9:21" x14ac:dyDescent="0.25">
      <c r="I39" s="5"/>
      <c r="J39" s="5"/>
      <c r="K39" s="6"/>
      <c r="L39" s="27">
        <f>'Calculadora VDFA'!$M$6</f>
        <v>0.2969</v>
      </c>
      <c r="N39" s="30"/>
      <c r="O39" s="6"/>
      <c r="P39" s="6"/>
      <c r="Q39" s="6"/>
      <c r="R39" s="6"/>
      <c r="S39" s="10"/>
      <c r="T39" s="10"/>
      <c r="U39" s="10"/>
    </row>
    <row r="40" spans="9:21" x14ac:dyDescent="0.25">
      <c r="I40" s="5"/>
      <c r="J40" s="5"/>
      <c r="K40" s="6"/>
      <c r="L40" s="27">
        <f>'Calculadora VDFA'!$M$6</f>
        <v>0.2969</v>
      </c>
      <c r="N40" s="30"/>
      <c r="O40" s="6"/>
      <c r="P40" s="6"/>
      <c r="Q40" s="6"/>
      <c r="R40" s="6"/>
      <c r="S40" s="10"/>
      <c r="T40" s="10"/>
      <c r="U40" s="10"/>
    </row>
    <row r="41" spans="9:21" x14ac:dyDescent="0.25">
      <c r="I41" s="5"/>
      <c r="J41" s="5"/>
      <c r="K41" s="6"/>
      <c r="L41" s="27">
        <f>'Calculadora VDFA'!$M$6</f>
        <v>0.2969</v>
      </c>
      <c r="N41" s="30"/>
      <c r="O41" s="6"/>
      <c r="P41" s="6"/>
      <c r="Q41" s="6"/>
      <c r="R41" s="6"/>
      <c r="S41" s="10"/>
      <c r="T41" s="10"/>
      <c r="U41" s="10"/>
    </row>
    <row r="42" spans="9:21" x14ac:dyDescent="0.25">
      <c r="I42" s="5"/>
      <c r="J42" s="5"/>
      <c r="K42" s="6"/>
      <c r="L42" s="27">
        <f>'Calculadora VDFA'!$M$6</f>
        <v>0.2969</v>
      </c>
      <c r="N42" s="30"/>
      <c r="O42" s="6"/>
      <c r="P42" s="6"/>
      <c r="Q42" s="6"/>
      <c r="R42" s="6"/>
      <c r="S42" s="10"/>
      <c r="T42" s="10"/>
      <c r="U42" s="10"/>
    </row>
    <row r="43" spans="9:21" x14ac:dyDescent="0.25">
      <c r="I43" s="5"/>
      <c r="J43" s="5"/>
      <c r="K43" s="6"/>
      <c r="L43" s="27">
        <f>'Calculadora VDFA'!$M$6</f>
        <v>0.2969</v>
      </c>
      <c r="N43" s="30"/>
      <c r="O43" s="6"/>
      <c r="P43" s="6"/>
      <c r="Q43" s="6"/>
      <c r="R43" s="6"/>
      <c r="S43" s="10"/>
      <c r="T43" s="10"/>
    </row>
    <row r="44" spans="9:21" x14ac:dyDescent="0.25">
      <c r="I44" s="5"/>
      <c r="J44" s="5"/>
      <c r="K44" s="6"/>
      <c r="L44" s="27">
        <f>'Calculadora VDFA'!$M$6</f>
        <v>0.2969</v>
      </c>
      <c r="N44" s="30"/>
      <c r="O44" s="6"/>
      <c r="P44" s="6"/>
      <c r="Q44" s="6"/>
      <c r="R44" s="6"/>
      <c r="S44" s="10"/>
    </row>
    <row r="45" spans="9:21" x14ac:dyDescent="0.25">
      <c r="I45" s="5"/>
      <c r="J45" s="5"/>
      <c r="K45" s="6"/>
      <c r="L45" s="27">
        <f>'Calculadora VDFA'!$M$6</f>
        <v>0.2969</v>
      </c>
      <c r="N45" s="30"/>
      <c r="O45" s="6"/>
      <c r="P45" s="6"/>
      <c r="Q45" s="6"/>
      <c r="R45" s="6"/>
      <c r="S45" s="10"/>
    </row>
    <row r="46" spans="9:21" x14ac:dyDescent="0.25">
      <c r="I46" s="5"/>
      <c r="J46" s="5"/>
      <c r="K46" s="6"/>
      <c r="L46" s="27">
        <f>'Calculadora VDFA'!$M$6</f>
        <v>0.2969</v>
      </c>
      <c r="N46" s="30"/>
      <c r="O46" s="6"/>
      <c r="P46" s="6"/>
      <c r="Q46" s="6"/>
      <c r="R46" s="6"/>
      <c r="S46" s="10"/>
    </row>
    <row r="47" spans="9:21" x14ac:dyDescent="0.25">
      <c r="I47" s="5"/>
      <c r="J47" s="5"/>
      <c r="K47" s="6"/>
      <c r="L47" s="27">
        <f>'Calculadora VDFA'!$M$6</f>
        <v>0.2969</v>
      </c>
      <c r="N47" s="30"/>
      <c r="O47" s="6"/>
      <c r="P47" s="6"/>
      <c r="Q47" s="6"/>
      <c r="R47" s="6"/>
      <c r="S47" s="10"/>
    </row>
    <row r="48" spans="9:21" x14ac:dyDescent="0.25">
      <c r="I48" s="5"/>
      <c r="J48" s="5"/>
      <c r="K48" s="6"/>
      <c r="L48" s="27">
        <f>'Calculadora VDFA'!$M$6</f>
        <v>0.2969</v>
      </c>
      <c r="N48" s="30"/>
      <c r="O48" s="6"/>
      <c r="P48" s="6"/>
      <c r="Q48" s="6"/>
      <c r="R48" s="6"/>
      <c r="S48" s="10"/>
    </row>
    <row r="49" spans="9:19" x14ac:dyDescent="0.25">
      <c r="I49" s="5"/>
      <c r="J49" s="5"/>
      <c r="K49" s="6"/>
      <c r="L49" s="27">
        <f>'Calculadora VDFA'!$M$6</f>
        <v>0.2969</v>
      </c>
      <c r="N49" s="30"/>
      <c r="O49" s="6"/>
      <c r="P49" s="6"/>
      <c r="Q49" s="6"/>
      <c r="R49" s="6"/>
      <c r="S49" s="10"/>
    </row>
    <row r="50" spans="9:19" x14ac:dyDescent="0.25">
      <c r="I50" s="5"/>
      <c r="J50" s="5"/>
      <c r="K50" s="6"/>
      <c r="L50" s="27">
        <f>'Calculadora VDFA'!$M$6</f>
        <v>0.2969</v>
      </c>
      <c r="N50" s="30"/>
      <c r="O50" s="6"/>
      <c r="P50" s="6"/>
      <c r="Q50" s="6"/>
      <c r="R50" s="6"/>
      <c r="S50" s="10"/>
    </row>
    <row r="51" spans="9:19" x14ac:dyDescent="0.25">
      <c r="I51" s="5"/>
      <c r="J51" s="5"/>
      <c r="K51" s="6"/>
      <c r="L51" s="27">
        <f>'Calculadora VDFA'!$M$6</f>
        <v>0.2969</v>
      </c>
      <c r="N51" s="30"/>
      <c r="O51" s="6"/>
      <c r="P51" s="6"/>
      <c r="Q51" s="6"/>
      <c r="R51" s="6"/>
      <c r="S51" s="10"/>
    </row>
    <row r="52" spans="9:19" x14ac:dyDescent="0.25">
      <c r="I52" s="5"/>
      <c r="J52" s="5"/>
      <c r="K52" s="6"/>
      <c r="L52" s="27">
        <f>'Calculadora VDFA'!$M$6</f>
        <v>0.2969</v>
      </c>
      <c r="N52" s="30"/>
      <c r="O52" s="6"/>
      <c r="P52" s="6"/>
      <c r="Q52" s="6"/>
      <c r="R52" s="6"/>
      <c r="S52" s="10"/>
    </row>
    <row r="53" spans="9:19" x14ac:dyDescent="0.25">
      <c r="I53" s="5"/>
      <c r="J53" s="5"/>
      <c r="K53" s="6"/>
      <c r="L53" s="27">
        <f>'Calculadora VDFA'!$M$6</f>
        <v>0.2969</v>
      </c>
      <c r="N53" s="30"/>
      <c r="O53" s="6"/>
      <c r="P53" s="6"/>
      <c r="Q53" s="6"/>
      <c r="R53" s="6"/>
      <c r="S53" s="10"/>
    </row>
    <row r="54" spans="9:19" x14ac:dyDescent="0.25">
      <c r="I54" s="5"/>
      <c r="J54" s="5"/>
      <c r="K54" s="6"/>
      <c r="L54" s="27">
        <f>'Calculadora VDFA'!$M$6</f>
        <v>0.2969</v>
      </c>
      <c r="N54" s="30"/>
      <c r="O54" s="6"/>
      <c r="P54" s="6"/>
      <c r="Q54" s="6"/>
      <c r="R54" s="6"/>
      <c r="S54" s="10"/>
    </row>
    <row r="55" spans="9:19" x14ac:dyDescent="0.25">
      <c r="I55" s="5"/>
      <c r="J55" s="5"/>
      <c r="K55" s="6"/>
      <c r="L55" s="27">
        <f>'Calculadora VDFA'!$M$6</f>
        <v>0.2969</v>
      </c>
      <c r="N55" s="30"/>
      <c r="O55" s="6"/>
      <c r="P55" s="6"/>
      <c r="Q55" s="6"/>
      <c r="R55" s="6"/>
      <c r="S55" s="10"/>
    </row>
    <row r="56" spans="9:19" x14ac:dyDescent="0.25">
      <c r="I56" s="5"/>
      <c r="J56" s="5"/>
      <c r="K56" s="6"/>
      <c r="L56" s="27">
        <f>'Calculadora VDFA'!$M$6</f>
        <v>0.2969</v>
      </c>
      <c r="N56" s="30"/>
      <c r="O56" s="6"/>
      <c r="P56" s="6"/>
      <c r="Q56" s="6"/>
      <c r="R56" s="6"/>
      <c r="S56" s="10"/>
    </row>
    <row r="57" spans="9:19" x14ac:dyDescent="0.25">
      <c r="I57" s="5"/>
      <c r="J57" s="5"/>
      <c r="K57" s="6"/>
      <c r="L57" s="27">
        <f>'Calculadora VDFA'!$M$6</f>
        <v>0.2969</v>
      </c>
      <c r="N57" s="30"/>
      <c r="O57" s="6"/>
      <c r="P57" s="6"/>
      <c r="Q57" s="6"/>
      <c r="R57" s="6"/>
      <c r="S57" s="10"/>
    </row>
    <row r="58" spans="9:19" x14ac:dyDescent="0.25">
      <c r="I58" s="5"/>
      <c r="J58" s="5"/>
      <c r="K58" s="6"/>
      <c r="L58" s="27">
        <f>'Calculadora VDFA'!$M$6</f>
        <v>0.2969</v>
      </c>
      <c r="N58" s="30"/>
      <c r="O58" s="6"/>
      <c r="P58" s="6"/>
      <c r="Q58" s="6"/>
      <c r="R58" s="6"/>
    </row>
    <row r="59" spans="9:19" x14ac:dyDescent="0.25">
      <c r="I59" s="5"/>
      <c r="J59" s="5"/>
      <c r="K59" s="6"/>
      <c r="L59" s="27">
        <f>'Calculadora VDFA'!$M$6</f>
        <v>0.2969</v>
      </c>
      <c r="N59" s="30"/>
      <c r="O59" s="6"/>
      <c r="P59" s="6"/>
      <c r="Q59" s="6"/>
      <c r="R59" s="6"/>
    </row>
    <row r="60" spans="9:19" x14ac:dyDescent="0.25">
      <c r="I60" s="5"/>
      <c r="J60" s="5"/>
      <c r="K60" s="6"/>
      <c r="L60" s="27">
        <f>'Calculadora VDFA'!$M$6</f>
        <v>0.2969</v>
      </c>
      <c r="N60" s="30"/>
      <c r="O60" s="6"/>
      <c r="P60" s="6"/>
      <c r="Q60" s="6"/>
      <c r="R60" s="6"/>
    </row>
    <row r="61" spans="9:19" x14ac:dyDescent="0.25">
      <c r="I61" s="5"/>
      <c r="J61" s="5"/>
      <c r="K61" s="6"/>
      <c r="L61" s="27">
        <f>'Calculadora VDFA'!$M$6</f>
        <v>0.2969</v>
      </c>
      <c r="N61" s="30"/>
      <c r="O61" s="6"/>
      <c r="P61" s="6"/>
      <c r="Q61" s="6"/>
      <c r="R61" s="6"/>
    </row>
    <row r="62" spans="9:19" x14ac:dyDescent="0.25">
      <c r="I62" s="5"/>
      <c r="J62" s="5"/>
      <c r="K62" s="6"/>
      <c r="L62" s="27">
        <f>'Calculadora VDFA'!$M$6</f>
        <v>0.2969</v>
      </c>
      <c r="N62" s="30"/>
      <c r="O62" s="6"/>
      <c r="P62" s="6"/>
      <c r="Q62" s="6"/>
      <c r="R62" s="6"/>
    </row>
    <row r="63" spans="9:19" x14ac:dyDescent="0.25">
      <c r="I63" s="5"/>
      <c r="J63" s="5"/>
      <c r="K63" s="6"/>
      <c r="L63" s="27">
        <f>'Calculadora VDFA'!$M$6</f>
        <v>0.2969</v>
      </c>
    </row>
    <row r="64" spans="9:19" x14ac:dyDescent="0.25">
      <c r="I64" s="5"/>
      <c r="J64" s="5"/>
      <c r="L64" s="27"/>
    </row>
    <row r="65" spans="9:12" x14ac:dyDescent="0.25">
      <c r="I65" s="5"/>
      <c r="J65" s="5"/>
      <c r="L65" s="27"/>
    </row>
    <row r="66" spans="9:12" x14ac:dyDescent="0.25">
      <c r="I66" s="5"/>
      <c r="J66" s="5"/>
      <c r="L66" s="27"/>
    </row>
    <row r="67" spans="9:12" x14ac:dyDescent="0.25">
      <c r="I67" s="5"/>
      <c r="J67" s="5"/>
      <c r="L67" s="27"/>
    </row>
    <row r="68" spans="9:12" x14ac:dyDescent="0.25">
      <c r="I68" s="5"/>
      <c r="J68" s="5"/>
      <c r="L68" s="27"/>
    </row>
    <row r="69" spans="9:12" x14ac:dyDescent="0.25">
      <c r="I69" s="5"/>
      <c r="J69" s="5"/>
      <c r="L69" s="27"/>
    </row>
    <row r="70" spans="9:12" x14ac:dyDescent="0.25">
      <c r="I70" s="5"/>
      <c r="J70" s="5"/>
      <c r="L70" s="27"/>
    </row>
    <row r="71" spans="9:12" x14ac:dyDescent="0.25">
      <c r="I71" s="5"/>
      <c r="J71" s="5"/>
      <c r="L71" s="27"/>
    </row>
    <row r="72" spans="9:12" x14ac:dyDescent="0.25">
      <c r="I72" s="5"/>
      <c r="J72" s="5"/>
      <c r="L72" s="27"/>
    </row>
    <row r="73" spans="9:12" x14ac:dyDescent="0.25">
      <c r="I73" s="5"/>
      <c r="J73" s="5"/>
      <c r="L73" s="27"/>
    </row>
    <row r="74" spans="9:12" x14ac:dyDescent="0.25">
      <c r="I74" s="5"/>
      <c r="J74" s="5"/>
      <c r="L74" s="27"/>
    </row>
    <row r="75" spans="9:12" x14ac:dyDescent="0.25">
      <c r="I75" s="5"/>
      <c r="J75" s="5"/>
      <c r="L75" s="27"/>
    </row>
    <row r="76" spans="9:12" x14ac:dyDescent="0.25">
      <c r="I76" s="5"/>
      <c r="J76" s="5"/>
      <c r="L76" s="27"/>
    </row>
    <row r="77" spans="9:12" x14ac:dyDescent="0.25">
      <c r="I77" s="5"/>
      <c r="J77" s="5"/>
      <c r="L77" s="27"/>
    </row>
    <row r="78" spans="9:12" x14ac:dyDescent="0.25">
      <c r="I78" s="5"/>
      <c r="J78" s="5"/>
      <c r="L78" s="27"/>
    </row>
    <row r="79" spans="9:12" x14ac:dyDescent="0.25">
      <c r="I79" s="5"/>
      <c r="J79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K17" sqref="K17"/>
    </sheetView>
  </sheetViews>
  <sheetFormatPr baseColWidth="10" defaultRowHeight="15" x14ac:dyDescent="0.25"/>
  <cols>
    <col min="2" max="2" width="11.42578125" style="134"/>
  </cols>
  <sheetData>
    <row r="1" spans="1:7" ht="15.75" thickBot="1" x14ac:dyDescent="0.3">
      <c r="A1" s="131" t="s">
        <v>19</v>
      </c>
      <c r="B1" s="132" t="s">
        <v>79</v>
      </c>
    </row>
    <row r="2" spans="1:7" ht="16.5" thickTop="1" thickBot="1" x14ac:dyDescent="0.3">
      <c r="A2" s="130">
        <v>43709</v>
      </c>
      <c r="B2" s="133">
        <v>58.0625</v>
      </c>
    </row>
    <row r="3" spans="1:7" ht="15.75" thickBot="1" x14ac:dyDescent="0.3">
      <c r="A3" s="130">
        <v>43710</v>
      </c>
      <c r="B3" s="133">
        <v>59.1875</v>
      </c>
      <c r="F3" s="136"/>
      <c r="G3" s="137"/>
    </row>
    <row r="4" spans="1:7" ht="15.75" thickBot="1" x14ac:dyDescent="0.3">
      <c r="A4" s="130">
        <v>43711</v>
      </c>
      <c r="B4" s="133">
        <v>60.6875</v>
      </c>
      <c r="F4" s="138"/>
      <c r="G4" s="139"/>
    </row>
    <row r="5" spans="1:7" ht="15.75" thickBot="1" x14ac:dyDescent="0.3">
      <c r="A5" s="130">
        <v>43712</v>
      </c>
      <c r="B5" s="133">
        <v>59.875</v>
      </c>
      <c r="F5" s="138"/>
      <c r="G5" s="139"/>
    </row>
    <row r="6" spans="1:7" ht="15.75" thickBot="1" x14ac:dyDescent="0.3">
      <c r="A6" s="130">
        <v>43713</v>
      </c>
      <c r="B6" s="133">
        <v>60.4375</v>
      </c>
      <c r="F6" s="138"/>
      <c r="G6" s="139"/>
    </row>
    <row r="7" spans="1:7" ht="15.75" thickBot="1" x14ac:dyDescent="0.3">
      <c r="A7" s="130">
        <v>43714</v>
      </c>
      <c r="B7" s="133">
        <v>60.9375</v>
      </c>
      <c r="F7" s="138"/>
      <c r="G7" s="139"/>
    </row>
    <row r="8" spans="1:7" ht="15.75" thickBot="1" x14ac:dyDescent="0.3">
      <c r="A8" s="130">
        <v>43715</v>
      </c>
      <c r="B8" s="133">
        <v>60.9375</v>
      </c>
      <c r="F8" s="138"/>
      <c r="G8" s="139"/>
    </row>
    <row r="9" spans="1:7" ht="15.75" thickBot="1" x14ac:dyDescent="0.3">
      <c r="A9" s="130">
        <v>43716</v>
      </c>
      <c r="B9" s="133">
        <v>60.9375</v>
      </c>
      <c r="F9" s="138"/>
      <c r="G9" s="139"/>
    </row>
    <row r="10" spans="1:7" ht="15.75" thickBot="1" x14ac:dyDescent="0.3">
      <c r="A10" s="130">
        <v>43717</v>
      </c>
      <c r="B10" s="133">
        <v>59.1875</v>
      </c>
      <c r="F10" s="138"/>
      <c r="G10" s="139"/>
    </row>
    <row r="11" spans="1:7" ht="15.75" thickBot="1" x14ac:dyDescent="0.3">
      <c r="A11" s="130">
        <v>43718</v>
      </c>
      <c r="B11" s="133">
        <v>61</v>
      </c>
      <c r="F11" s="138"/>
      <c r="G11" s="139"/>
    </row>
    <row r="12" spans="1:7" ht="15.75" thickBot="1" x14ac:dyDescent="0.3">
      <c r="A12" s="130">
        <v>43719</v>
      </c>
      <c r="B12" s="133">
        <v>60.4375</v>
      </c>
      <c r="F12" s="138"/>
      <c r="G12" s="139"/>
    </row>
    <row r="13" spans="1:7" ht="15.75" thickBot="1" x14ac:dyDescent="0.3">
      <c r="A13" s="130">
        <v>43720</v>
      </c>
      <c r="B13" s="133">
        <v>60.5</v>
      </c>
      <c r="F13" s="138"/>
      <c r="G13" s="139"/>
    </row>
    <row r="14" spans="1:7" ht="15.75" thickBot="1" x14ac:dyDescent="0.3">
      <c r="A14" s="130">
        <v>43721</v>
      </c>
      <c r="B14" s="133">
        <v>60.75</v>
      </c>
      <c r="F14" s="138"/>
      <c r="G14" s="139"/>
    </row>
    <row r="15" spans="1:7" ht="15.75" thickBot="1" x14ac:dyDescent="0.3">
      <c r="A15" s="130">
        <v>43722</v>
      </c>
      <c r="B15" s="133">
        <v>60.75</v>
      </c>
      <c r="F15" s="138"/>
      <c r="G15" s="139"/>
    </row>
    <row r="16" spans="1:7" ht="15.75" thickBot="1" x14ac:dyDescent="0.3">
      <c r="A16" s="130">
        <v>43723</v>
      </c>
      <c r="B16" s="133">
        <v>60.75</v>
      </c>
      <c r="F16" s="138"/>
      <c r="G16" s="139"/>
    </row>
    <row r="17" spans="1:7" ht="15.75" thickBot="1" x14ac:dyDescent="0.3">
      <c r="A17" s="130">
        <v>43724</v>
      </c>
      <c r="B17" s="133">
        <v>60.1875</v>
      </c>
      <c r="F17" s="138"/>
      <c r="G17" s="139"/>
    </row>
    <row r="18" spans="1:7" ht="15.75" thickBot="1" x14ac:dyDescent="0.3">
      <c r="A18" s="130">
        <v>43725</v>
      </c>
      <c r="B18" s="133">
        <v>60.125</v>
      </c>
      <c r="F18" s="138"/>
      <c r="G18" s="139"/>
    </row>
    <row r="19" spans="1:7" ht="15.75" thickBot="1" x14ac:dyDescent="0.3">
      <c r="A19" s="130">
        <v>43726</v>
      </c>
      <c r="B19" s="133">
        <v>60.125</v>
      </c>
      <c r="F19" s="138"/>
      <c r="G19" s="139"/>
    </row>
    <row r="20" spans="1:7" ht="15.75" thickBot="1" x14ac:dyDescent="0.3">
      <c r="A20" s="130">
        <v>43727</v>
      </c>
      <c r="B20" s="133">
        <v>60.125</v>
      </c>
      <c r="F20" s="138"/>
      <c r="G20" s="139"/>
    </row>
    <row r="21" spans="1:7" ht="15.75" thickBot="1" x14ac:dyDescent="0.3">
      <c r="A21" s="130">
        <v>43728</v>
      </c>
      <c r="B21" s="133">
        <v>60.125</v>
      </c>
      <c r="F21" s="138"/>
      <c r="G21" s="139"/>
    </row>
    <row r="22" spans="1:7" ht="15.75" thickBot="1" x14ac:dyDescent="0.3">
      <c r="A22" s="130">
        <v>43729</v>
      </c>
      <c r="B22" s="133">
        <v>60.125</v>
      </c>
      <c r="F22" s="138"/>
      <c r="G22" s="139"/>
    </row>
    <row r="23" spans="1:7" ht="15.75" thickBot="1" x14ac:dyDescent="0.3">
      <c r="A23" s="130">
        <v>43730</v>
      </c>
      <c r="B23" s="133">
        <v>60.125</v>
      </c>
      <c r="F23" s="138"/>
      <c r="G23" s="139"/>
    </row>
    <row r="24" spans="1:7" ht="15.75" thickBot="1" x14ac:dyDescent="0.3">
      <c r="A24" s="130">
        <v>43731</v>
      </c>
      <c r="B24" s="133">
        <v>60.125</v>
      </c>
    </row>
    <row r="25" spans="1:7" ht="15.75" thickBot="1" x14ac:dyDescent="0.3">
      <c r="A25" s="130">
        <v>43732</v>
      </c>
      <c r="B25" s="133">
        <v>60.125</v>
      </c>
    </row>
    <row r="26" spans="1:7" ht="15.75" thickBot="1" x14ac:dyDescent="0.3">
      <c r="A26" s="130">
        <v>43733</v>
      </c>
      <c r="B26" s="133">
        <v>60.125</v>
      </c>
    </row>
    <row r="27" spans="1:7" ht="15.75" thickBot="1" x14ac:dyDescent="0.3">
      <c r="A27" s="130">
        <v>43734</v>
      </c>
      <c r="B27" s="133">
        <v>60.125</v>
      </c>
    </row>
    <row r="28" spans="1:7" ht="15.75" thickBot="1" x14ac:dyDescent="0.3">
      <c r="A28" s="130">
        <v>43735</v>
      </c>
      <c r="B28" s="133">
        <v>60.125</v>
      </c>
    </row>
    <row r="29" spans="1:7" ht="15.75" thickBot="1" x14ac:dyDescent="0.3">
      <c r="A29" s="130">
        <v>43736</v>
      </c>
      <c r="B29" s="133">
        <v>60.125</v>
      </c>
    </row>
    <row r="30" spans="1:7" ht="15.75" thickBot="1" x14ac:dyDescent="0.3">
      <c r="A30" s="130">
        <v>43737</v>
      </c>
      <c r="B30" s="133">
        <v>60.125</v>
      </c>
    </row>
    <row r="31" spans="1:7" ht="15.75" thickBot="1" x14ac:dyDescent="0.3">
      <c r="A31" s="130">
        <v>43738</v>
      </c>
      <c r="B31" s="133">
        <v>60.125</v>
      </c>
    </row>
    <row r="32" spans="1:7" ht="15.75" thickBot="1" x14ac:dyDescent="0.3">
      <c r="A32" s="130">
        <v>43739</v>
      </c>
      <c r="B32" s="133">
        <v>60.125</v>
      </c>
    </row>
    <row r="33" spans="1:2" ht="15.75" thickBot="1" x14ac:dyDescent="0.3">
      <c r="A33" s="130"/>
      <c r="B33" s="133">
        <f>AVERAGE(B2:B32)</f>
        <v>60.20967741935484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BZ68"/>
  <sheetViews>
    <sheetView showGridLines="0" workbookViewId="0">
      <pane ySplit="3" topLeftCell="A4" activePane="bottomLeft" state="frozen"/>
      <selection activeCell="K17" sqref="K17"/>
      <selection pane="bottomLeft" activeCell="J10" sqref="J10"/>
    </sheetView>
  </sheetViews>
  <sheetFormatPr baseColWidth="10" defaultColWidth="9.140625" defaultRowHeight="15" x14ac:dyDescent="0.25"/>
  <cols>
    <col min="1" max="1" width="2.85546875" customWidth="1"/>
    <col min="3" max="3" width="9.5703125" customWidth="1"/>
    <col min="4" max="4" width="2.85546875" customWidth="1"/>
    <col min="5" max="5" width="9.140625" customWidth="1"/>
    <col min="6" max="6" width="9.5703125" bestFit="1" customWidth="1"/>
    <col min="7" max="7" width="9.5703125" customWidth="1"/>
    <col min="12" max="12" width="2.85546875" customWidth="1"/>
    <col min="20" max="20" width="2.85546875" customWidth="1"/>
    <col min="28" max="28" width="2.85546875" customWidth="1"/>
    <col min="35" max="35" width="2.85546875" customWidth="1"/>
    <col min="37" max="37" width="2.85546875" customWidth="1"/>
    <col min="38" max="38" width="10" bestFit="1" customWidth="1"/>
    <col min="41" max="41" width="2.85546875" customWidth="1"/>
    <col min="42" max="42" width="10" bestFit="1" customWidth="1"/>
    <col min="45" max="45" width="2.85546875" customWidth="1"/>
    <col min="46" max="46" width="10" bestFit="1" customWidth="1"/>
    <col min="49" max="49" width="2.85546875" customWidth="1"/>
    <col min="50" max="50" width="10" bestFit="1" customWidth="1"/>
    <col min="51" max="51" width="9.140625" customWidth="1"/>
    <col min="53" max="53" width="2.85546875" customWidth="1"/>
    <col min="54" max="57" width="10" bestFit="1" customWidth="1"/>
    <col min="58" max="58" width="2.85546875" customWidth="1"/>
    <col min="59" max="61" width="3" customWidth="1"/>
    <col min="62" max="62" width="10.7109375" customWidth="1"/>
    <col min="63" max="63" width="10.85546875" bestFit="1" customWidth="1"/>
    <col min="64" max="65" width="10.85546875" customWidth="1"/>
    <col min="66" max="74" width="7.42578125" customWidth="1"/>
    <col min="77" max="77" width="22.5703125" bestFit="1" customWidth="1"/>
    <col min="78" max="78" width="8.140625" bestFit="1" customWidth="1"/>
  </cols>
  <sheetData>
    <row r="2" spans="2:78" x14ac:dyDescent="0.25">
      <c r="E2" s="12" t="s">
        <v>12</v>
      </c>
      <c r="M2" s="12" t="s">
        <v>13</v>
      </c>
      <c r="U2" s="12" t="s">
        <v>14</v>
      </c>
      <c r="AC2" s="12" t="s">
        <v>15</v>
      </c>
      <c r="AJ2" s="12" t="s">
        <v>17</v>
      </c>
      <c r="AL2" s="12" t="s">
        <v>12</v>
      </c>
      <c r="AP2" s="12" t="s">
        <v>13</v>
      </c>
      <c r="AT2" s="12" t="s">
        <v>14</v>
      </c>
      <c r="AX2" s="12" t="s">
        <v>15</v>
      </c>
      <c r="BB2" s="12" t="s">
        <v>18</v>
      </c>
      <c r="BC2" s="12"/>
      <c r="BD2" s="12"/>
      <c r="BE2" s="12"/>
      <c r="BG2" s="12"/>
      <c r="BH2" s="12"/>
      <c r="BI2" s="12"/>
      <c r="BL2" s="12" t="s">
        <v>49</v>
      </c>
      <c r="BN2" s="12"/>
      <c r="BO2" s="12" t="s">
        <v>50</v>
      </c>
      <c r="BP2" s="12"/>
      <c r="BQ2" s="12"/>
      <c r="BR2" s="12" t="s">
        <v>51</v>
      </c>
      <c r="BS2" s="12"/>
      <c r="BT2" s="12"/>
      <c r="BU2" s="12" t="s">
        <v>52</v>
      </c>
      <c r="BV2" s="12"/>
    </row>
    <row r="3" spans="2:78" x14ac:dyDescent="0.25">
      <c r="B3" s="4" t="s">
        <v>19</v>
      </c>
      <c r="C3" s="4" t="s">
        <v>4</v>
      </c>
      <c r="E3" s="4" t="s">
        <v>3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M3" s="4" t="s">
        <v>3</v>
      </c>
      <c r="N3" s="4" t="s">
        <v>20</v>
      </c>
      <c r="O3" s="4" t="s">
        <v>21</v>
      </c>
      <c r="P3" s="4" t="s">
        <v>22</v>
      </c>
      <c r="Q3" s="4" t="s">
        <v>23</v>
      </c>
      <c r="R3" s="4" t="s">
        <v>24</v>
      </c>
      <c r="S3" s="4" t="s">
        <v>25</v>
      </c>
      <c r="U3" s="4" t="s">
        <v>3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C3" s="4" t="s">
        <v>3</v>
      </c>
      <c r="AD3" s="4" t="s">
        <v>20</v>
      </c>
      <c r="AE3" s="4" t="s">
        <v>26</v>
      </c>
      <c r="AF3" s="4" t="s">
        <v>23</v>
      </c>
      <c r="AG3" s="4" t="s">
        <v>24</v>
      </c>
      <c r="AH3" s="4" t="s">
        <v>25</v>
      </c>
      <c r="AJ3" s="4" t="s">
        <v>27</v>
      </c>
      <c r="AL3" s="4" t="s">
        <v>28</v>
      </c>
      <c r="AM3" s="4" t="s">
        <v>29</v>
      </c>
      <c r="AN3" s="4" t="s">
        <v>17</v>
      </c>
      <c r="AP3" s="4" t="s">
        <v>28</v>
      </c>
      <c r="AQ3" s="4" t="s">
        <v>29</v>
      </c>
      <c r="AR3" s="4" t="s">
        <v>17</v>
      </c>
      <c r="AT3" s="4" t="s">
        <v>28</v>
      </c>
      <c r="AU3" s="4" t="s">
        <v>29</v>
      </c>
      <c r="AV3" s="4" t="s">
        <v>17</v>
      </c>
      <c r="AX3" s="4" t="s">
        <v>28</v>
      </c>
      <c r="AY3" s="4" t="s">
        <v>29</v>
      </c>
      <c r="AZ3" s="4" t="s">
        <v>17</v>
      </c>
      <c r="BB3" s="4" t="s">
        <v>12</v>
      </c>
      <c r="BC3" s="4" t="s">
        <v>13</v>
      </c>
      <c r="BD3" s="4" t="s">
        <v>14</v>
      </c>
      <c r="BE3" s="4" t="s">
        <v>15</v>
      </c>
      <c r="BG3" s="12"/>
      <c r="BH3" s="12"/>
      <c r="BI3" s="12" t="s">
        <v>53</v>
      </c>
      <c r="BJ3" s="4" t="s">
        <v>54</v>
      </c>
      <c r="BK3" s="4" t="s">
        <v>55</v>
      </c>
      <c r="BL3" s="4" t="s">
        <v>56</v>
      </c>
      <c r="BM3" s="4" t="s">
        <v>57</v>
      </c>
      <c r="BN3" s="4" t="s">
        <v>55</v>
      </c>
      <c r="BO3" s="4" t="s">
        <v>56</v>
      </c>
      <c r="BP3" s="12" t="s">
        <v>57</v>
      </c>
      <c r="BQ3" s="4" t="s">
        <v>55</v>
      </c>
      <c r="BR3" s="4" t="s">
        <v>56</v>
      </c>
      <c r="BS3" s="12" t="s">
        <v>57</v>
      </c>
      <c r="BT3" s="4" t="s">
        <v>55</v>
      </c>
      <c r="BU3" s="4" t="s">
        <v>56</v>
      </c>
      <c r="BV3" s="12" t="s">
        <v>57</v>
      </c>
      <c r="BW3" s="4"/>
    </row>
    <row r="4" spans="2:78" x14ac:dyDescent="0.25">
      <c r="B4" s="13">
        <f>Carga!C5</f>
        <v>44061</v>
      </c>
      <c r="C4" s="14"/>
      <c r="E4" s="15"/>
      <c r="F4" s="15"/>
      <c r="G4" s="16"/>
      <c r="H4" s="15"/>
      <c r="I4" s="15"/>
      <c r="J4" s="15"/>
      <c r="K4" s="15"/>
      <c r="M4" s="14"/>
      <c r="N4" s="14"/>
      <c r="O4" s="14"/>
      <c r="P4" s="14"/>
      <c r="Q4" s="14"/>
      <c r="R4" s="14"/>
      <c r="S4" s="14"/>
      <c r="U4" s="14"/>
      <c r="V4" s="14"/>
      <c r="W4" s="14"/>
      <c r="X4" s="14"/>
      <c r="Y4" s="14"/>
      <c r="Z4" s="14"/>
      <c r="AA4" s="14"/>
      <c r="AC4" s="14"/>
      <c r="AD4" s="14"/>
      <c r="AE4" s="14"/>
      <c r="AF4" s="14"/>
      <c r="AG4" s="14"/>
      <c r="AH4" s="14"/>
      <c r="AJ4" s="14"/>
      <c r="AL4" s="14" t="e">
        <f>-F5*BB66</f>
        <v>#NUM!</v>
      </c>
      <c r="AM4" s="14"/>
      <c r="AN4" s="14"/>
      <c r="AP4" s="14" t="e">
        <f>-N5*BC66</f>
        <v>#NUM!</v>
      </c>
      <c r="AQ4" s="14"/>
      <c r="AR4" s="14"/>
      <c r="AT4" s="14" t="e">
        <f>-V5*BD66</f>
        <v>#NUM!</v>
      </c>
      <c r="AU4" s="14"/>
      <c r="AV4" s="14"/>
      <c r="AX4" s="14">
        <f>-AD5</f>
        <v>0</v>
      </c>
      <c r="AY4" s="14"/>
      <c r="AZ4" s="14"/>
      <c r="BB4" s="15">
        <v>0</v>
      </c>
      <c r="BC4" s="15">
        <v>0</v>
      </c>
      <c r="BD4" s="15">
        <v>0</v>
      </c>
      <c r="BE4" s="15">
        <v>0</v>
      </c>
      <c r="BG4" s="15"/>
      <c r="BH4" s="15"/>
      <c r="BI4" s="15"/>
      <c r="BJ4" s="15"/>
      <c r="BK4" s="15"/>
      <c r="BL4" s="15"/>
      <c r="BM4" s="15"/>
      <c r="BN4" s="14"/>
      <c r="BO4" s="14"/>
      <c r="BP4" s="14"/>
      <c r="BQ4" s="14"/>
      <c r="BR4" s="14"/>
      <c r="BS4" s="14"/>
      <c r="BT4" s="15"/>
      <c r="BU4" s="15"/>
      <c r="BV4" s="15"/>
      <c r="BW4" s="13"/>
    </row>
    <row r="5" spans="2:78" x14ac:dyDescent="0.25">
      <c r="B5" s="5">
        <f>Carga!J5</f>
        <v>44095</v>
      </c>
      <c r="C5" s="7">
        <f>+Carga!L5</f>
        <v>0.2969</v>
      </c>
      <c r="E5" s="6">
        <f>Carga!K5</f>
        <v>9097931</v>
      </c>
      <c r="F5" s="6">
        <f>Carga!C8</f>
        <v>88800000</v>
      </c>
      <c r="G5" s="7">
        <f>+MAX(Carga!$D$8,MIN(Carga!$F$8,Carga!$E$8+$C5))</f>
        <v>0.30690000000000001</v>
      </c>
      <c r="H5" s="6">
        <f>F5*G5/12*Carga!$C$13</f>
        <v>2271060</v>
      </c>
      <c r="I5" s="6">
        <f t="shared" ref="I5:I40" si="0">MIN(E5-J5,F5)</f>
        <v>6826871</v>
      </c>
      <c r="J5" s="6">
        <f>MIN(SUM(H$4:H5)-SUM(J$4:J4),E5)</f>
        <v>2271060</v>
      </c>
      <c r="K5" s="6">
        <f>SUM(I5:J5)</f>
        <v>9097931</v>
      </c>
      <c r="M5" s="6">
        <f t="shared" ref="M5:M40" si="1">MAX(E5-K5,0)</f>
        <v>0</v>
      </c>
      <c r="N5" s="6">
        <f>Carga!C9</f>
        <v>3677569</v>
      </c>
      <c r="O5" s="7">
        <f>+MAX(Carga!$D$9,MIN(Carga!$F$9,Carga!$E$9+$C5))</f>
        <v>0.32689999999999997</v>
      </c>
      <c r="P5" s="6">
        <f>N5*O5/12*Carga!$C$13</f>
        <v>100183.10884166666</v>
      </c>
      <c r="Q5" s="6">
        <f t="shared" ref="Q5:Q40" si="2">MIN(M5-R5,N5)</f>
        <v>0</v>
      </c>
      <c r="R5" s="6">
        <f>MIN(SUM(P$4:P5)-SUM(R$4:R4),M5)</f>
        <v>0</v>
      </c>
      <c r="S5" s="6">
        <f>SUM(Q5:R5)</f>
        <v>0</v>
      </c>
      <c r="U5" s="6">
        <f t="shared" ref="U5:U40" si="3">MAX(M5-S5,0)</f>
        <v>0</v>
      </c>
      <c r="V5" s="6">
        <f>Carga!C10</f>
        <v>0</v>
      </c>
      <c r="W5" s="7">
        <f>+MAX(Carga!$D$10,MIN(Carga!$F$10,Carga!$E$10+$C5))</f>
        <v>0.2969</v>
      </c>
      <c r="X5" s="6">
        <f>V5*W5/12*Carga!$C$13</f>
        <v>0</v>
      </c>
      <c r="Y5" s="6">
        <f t="shared" ref="Y5:Y40" si="4">MIN(U5-Z5,V5)</f>
        <v>0</v>
      </c>
      <c r="Z5" s="6">
        <f>MIN(SUM(X$4:X5)-SUM(Z$4:Z4),U5)</f>
        <v>0</v>
      </c>
      <c r="AA5" s="6">
        <f>SUM(Y5:Z5)</f>
        <v>0</v>
      </c>
      <c r="AC5" s="6">
        <f t="shared" ref="AC5:AC40" si="5">MAX(U5-AA5,0)</f>
        <v>0</v>
      </c>
      <c r="AD5" s="6">
        <f>Carga!C11</f>
        <v>0</v>
      </c>
      <c r="AE5" s="7" t="b">
        <f>IF(MAX(AC6:AC$40)&gt;0,FALSE,TRUE)</f>
        <v>0</v>
      </c>
      <c r="AF5" s="6">
        <f t="shared" ref="AF5:AF40" si="6">IF(AE5,MIN(AC5,AD5),MIN(AC5,AD5-100))</f>
        <v>-100</v>
      </c>
      <c r="AG5" s="6">
        <f t="shared" ref="AG5:AG40" si="7">MAX(AC5-AF5,0)</f>
        <v>100</v>
      </c>
      <c r="AH5" s="6">
        <f>SUM(AF5:AG5)</f>
        <v>0</v>
      </c>
      <c r="AJ5" s="6">
        <f>B5-B$4</f>
        <v>34</v>
      </c>
      <c r="AL5" s="6">
        <f>K5</f>
        <v>9097931</v>
      </c>
      <c r="AM5" s="6" t="e">
        <f t="shared" ref="AM5:AM40" si="8">AL5/((1+AL$66)^($AJ5/365))</f>
        <v>#NUM!</v>
      </c>
      <c r="AN5" s="6" t="e">
        <f>$AJ5*AM5/-AL$4</f>
        <v>#NUM!</v>
      </c>
      <c r="AP5" s="6">
        <f>S5</f>
        <v>0</v>
      </c>
      <c r="AQ5" s="6" t="e">
        <f t="shared" ref="AQ5:AQ40" si="9">AP5/((1+AP$66)^($AJ5/365))</f>
        <v>#NUM!</v>
      </c>
      <c r="AR5" s="6" t="e">
        <f>$AJ5*AQ5/-AP$4</f>
        <v>#NUM!</v>
      </c>
      <c r="AT5" s="6">
        <f>AA5</f>
        <v>0</v>
      </c>
      <c r="AU5" s="6" t="e">
        <f t="shared" ref="AU5:AU40" si="10">AT5/((1+AT$66)^($AJ5/365))</f>
        <v>#NUM!</v>
      </c>
      <c r="AV5" s="6" t="e">
        <f>$AJ5*AU5/-AT$4</f>
        <v>#NUM!</v>
      </c>
      <c r="AX5" s="6">
        <f>AH5</f>
        <v>0</v>
      </c>
      <c r="AY5" s="6" t="e">
        <f t="shared" ref="AY5:AY40" si="11">AX5/((1+AX$66)^($AJ5/365))</f>
        <v>#NUM!</v>
      </c>
      <c r="AZ5" s="6" t="e">
        <f>$AJ5*AY5/-AX$4</f>
        <v>#NUM!</v>
      </c>
      <c r="BB5" s="6">
        <f>K5</f>
        <v>9097931</v>
      </c>
      <c r="BC5" s="6">
        <f>S5</f>
        <v>0</v>
      </c>
      <c r="BD5" s="6">
        <f>AA5</f>
        <v>0</v>
      </c>
      <c r="BE5" s="6">
        <f>AH5</f>
        <v>0</v>
      </c>
      <c r="BG5" s="6">
        <f t="shared" ref="BG5:BG10" si="12">+IF(AND(BU5&gt;=BT$5,BU4&lt;BT$5),1,0)</f>
        <v>0</v>
      </c>
      <c r="BH5" s="6">
        <f t="shared" ref="BH5:BH40" si="13">+IF(AND(BV5&gt;=BT$5,BV4&lt;BT$5),1,0)</f>
        <v>0</v>
      </c>
      <c r="BI5" s="6">
        <f t="shared" ref="BI5" ca="1" si="14">+IF(AND(TODAY()&gt;B4,TODAY()&lt;=B5),1,0)</f>
        <v>0</v>
      </c>
      <c r="BJ5" s="6">
        <f>+SUM(E5:E$40)</f>
        <v>151797871</v>
      </c>
      <c r="BK5" s="6">
        <f>+SUM(J5:J$40)+F5</f>
        <v>102773287.94735719</v>
      </c>
      <c r="BL5" s="6">
        <f>+SUM(R5:R$40)+N5</f>
        <v>5029619.073919625</v>
      </c>
      <c r="BM5" s="6">
        <f>+SUM(Z5:Z$40)+V5</f>
        <v>0</v>
      </c>
      <c r="BN5" s="7">
        <f t="shared" ref="BN5:BN40" si="15">+BK5/$BJ5</f>
        <v>0.67704037790725791</v>
      </c>
      <c r="BO5" s="7">
        <f t="shared" ref="BO5:BO40" si="16">(BK5+BL5)/$BJ5</f>
        <v>0.71017403808829982</v>
      </c>
      <c r="BP5" s="7">
        <f t="shared" ref="BP5:BP40" si="17">(BK5+BL5+BM5)/$BJ5</f>
        <v>0.71017403808829982</v>
      </c>
      <c r="BQ5" s="7">
        <f>+(1-BN5)</f>
        <v>0.32295962209274209</v>
      </c>
      <c r="BR5" s="7">
        <f>+(1-BO5)</f>
        <v>0.28982596191170018</v>
      </c>
      <c r="BS5" s="7">
        <f>+(1-BP5)</f>
        <v>0.28982596191170018</v>
      </c>
      <c r="BT5" s="31">
        <f>ROUND(1/BN5,2)</f>
        <v>1.48</v>
      </c>
      <c r="BU5" s="31">
        <f>ROUND(1/BO5,2)</f>
        <v>1.41</v>
      </c>
      <c r="BV5" s="31">
        <f t="shared" ref="BV5:BV40" si="18">ROUND(1/BP5,2)</f>
        <v>1.41</v>
      </c>
      <c r="BW5" s="5">
        <f>+B5</f>
        <v>44095</v>
      </c>
      <c r="BY5" s="31" t="s">
        <v>58</v>
      </c>
      <c r="BZ5" s="7">
        <f>1-BN5</f>
        <v>0.32295962209274209</v>
      </c>
    </row>
    <row r="6" spans="2:78" x14ac:dyDescent="0.25">
      <c r="B6" s="13">
        <f>Carga!J6</f>
        <v>44124</v>
      </c>
      <c r="C6" s="16">
        <f>Carga!$L6</f>
        <v>0.2969</v>
      </c>
      <c r="E6" s="15">
        <f>Carga!K6</f>
        <v>10213320</v>
      </c>
      <c r="F6" s="15">
        <f t="shared" ref="F6:F40" si="19">SUM(F5,-I5)</f>
        <v>81973129</v>
      </c>
      <c r="G6" s="16">
        <f>+MAX(Carga!$D$8,MIN(Carga!$F$8,Carga!$E$8+$C6))</f>
        <v>0.30690000000000001</v>
      </c>
      <c r="H6" s="15">
        <f>F6*G6/12</f>
        <v>2096462.7741750001</v>
      </c>
      <c r="I6" s="15">
        <f t="shared" si="0"/>
        <v>8116857.2258249996</v>
      </c>
      <c r="J6" s="15">
        <f>MIN(SUM(H$4:H6)-SUM(J$4:J5),E6)</f>
        <v>2096462.7741750004</v>
      </c>
      <c r="K6" s="15">
        <f t="shared" ref="K6:K40" si="20">SUM(I6:J6)</f>
        <v>10213320</v>
      </c>
      <c r="M6" s="15">
        <f t="shared" si="1"/>
        <v>0</v>
      </c>
      <c r="N6" s="15">
        <f t="shared" ref="N6:N40" si="21">SUM(N5,-Q5)</f>
        <v>3677569</v>
      </c>
      <c r="O6" s="16">
        <f>+MAX(Carga!$D$9,MIN(Carga!$F$9,Carga!$E$9+$C6))</f>
        <v>0.32689999999999997</v>
      </c>
      <c r="P6" s="15">
        <f>N6*O6/12</f>
        <v>100183.10884166666</v>
      </c>
      <c r="Q6" s="15">
        <f t="shared" si="2"/>
        <v>0</v>
      </c>
      <c r="R6" s="15">
        <f>MIN(SUM(P$4:P6)-SUM(R$4:R5),M6)</f>
        <v>0</v>
      </c>
      <c r="S6" s="15">
        <f t="shared" ref="S6:S40" si="22">SUM(Q6:R6)</f>
        <v>0</v>
      </c>
      <c r="U6" s="15">
        <f t="shared" si="3"/>
        <v>0</v>
      </c>
      <c r="V6" s="15">
        <f t="shared" ref="V6:V40" si="23">SUM(V5,-Y5)</f>
        <v>0</v>
      </c>
      <c r="W6" s="16">
        <f>+MAX(Carga!$D$10,MIN(Carga!$F$10,Carga!$E$10+$C6))</f>
        <v>0.2969</v>
      </c>
      <c r="X6" s="15">
        <f>V6*W6/12</f>
        <v>0</v>
      </c>
      <c r="Y6" s="15">
        <f t="shared" si="4"/>
        <v>0</v>
      </c>
      <c r="Z6" s="15">
        <f>MIN(SUM(X$4:X6)-SUM(Z$4:Z5),U6)</f>
        <v>0</v>
      </c>
      <c r="AA6" s="15">
        <f t="shared" ref="AA6:AA40" si="24">SUM(Y6:Z6)</f>
        <v>0</v>
      </c>
      <c r="AC6" s="15">
        <f t="shared" si="5"/>
        <v>0</v>
      </c>
      <c r="AD6" s="15">
        <f t="shared" ref="AD6:AD40" si="25">SUM(AD5,-AF5)</f>
        <v>100</v>
      </c>
      <c r="AE6" s="14" t="b">
        <f>IF(MAX(AC7:AC$40)&gt;0,FALSE,TRUE)</f>
        <v>0</v>
      </c>
      <c r="AF6" s="15">
        <f t="shared" si="6"/>
        <v>0</v>
      </c>
      <c r="AG6" s="15">
        <f t="shared" si="7"/>
        <v>0</v>
      </c>
      <c r="AH6" s="15">
        <f t="shared" ref="AH6:AH40" si="26">SUM(AF6:AG6)</f>
        <v>0</v>
      </c>
      <c r="AJ6" s="14">
        <f t="shared" ref="AJ6:AJ40" si="27">B6-B$4</f>
        <v>63</v>
      </c>
      <c r="AL6" s="15">
        <f t="shared" ref="AL6:AL40" si="28">K6</f>
        <v>10213320</v>
      </c>
      <c r="AM6" s="15" t="e">
        <f t="shared" si="8"/>
        <v>#NUM!</v>
      </c>
      <c r="AN6" s="14" t="e">
        <f t="shared" ref="AN6:AN40" si="29">$AJ6*AM6/-AL$4</f>
        <v>#NUM!</v>
      </c>
      <c r="AP6" s="15">
        <f t="shared" ref="AP6:AP40" si="30">S6</f>
        <v>0</v>
      </c>
      <c r="AQ6" s="15" t="e">
        <f t="shared" si="9"/>
        <v>#NUM!</v>
      </c>
      <c r="AR6" s="15" t="e">
        <f t="shared" ref="AR6:AR40" si="31">$AJ6*AQ6/-AP$4</f>
        <v>#NUM!</v>
      </c>
      <c r="AT6" s="15">
        <f t="shared" ref="AT6:AT40" si="32">AA6</f>
        <v>0</v>
      </c>
      <c r="AU6" s="15" t="e">
        <f t="shared" si="10"/>
        <v>#NUM!</v>
      </c>
      <c r="AV6" s="15" t="e">
        <f t="shared" ref="AV6:AV40" si="33">$AJ6*AU6/-AT$4</f>
        <v>#NUM!</v>
      </c>
      <c r="AX6" s="15">
        <f t="shared" ref="AX6:AX40" si="34">AH6</f>
        <v>0</v>
      </c>
      <c r="AY6" s="15" t="e">
        <f t="shared" si="11"/>
        <v>#NUM!</v>
      </c>
      <c r="AZ6" s="15" t="e">
        <f t="shared" ref="AZ6:AZ40" si="35">$AJ6*AY6/-AX$4</f>
        <v>#NUM!</v>
      </c>
      <c r="BB6" s="15">
        <f t="shared" ref="BB6:BB40" si="36">K6</f>
        <v>10213320</v>
      </c>
      <c r="BC6" s="15">
        <f t="shared" ref="BC6:BC40" si="37">S6</f>
        <v>0</v>
      </c>
      <c r="BD6" s="15">
        <f t="shared" ref="BD6:BD40" si="38">AA6</f>
        <v>0</v>
      </c>
      <c r="BE6" s="15">
        <f t="shared" ref="BE6:BE40" si="39">AH6</f>
        <v>0</v>
      </c>
      <c r="BG6" s="15">
        <f t="shared" si="12"/>
        <v>0</v>
      </c>
      <c r="BH6" s="15">
        <f t="shared" si="13"/>
        <v>0</v>
      </c>
      <c r="BI6" s="15">
        <f ca="1">+IF(AND(TODAY()&gt;B5,TODAY()&lt;=B6),1,0)</f>
        <v>0</v>
      </c>
      <c r="BJ6" s="15">
        <f>+SUM(E6:E$40)</f>
        <v>142699940</v>
      </c>
      <c r="BK6" s="15">
        <f>+SUM(J6:J$40)+F6</f>
        <v>93675356.947357193</v>
      </c>
      <c r="BL6" s="15">
        <f>+SUM(R6:R$40)+N6</f>
        <v>5029619.073919625</v>
      </c>
      <c r="BM6" s="15">
        <f>+SUM(Z6:Z$40)+V6</f>
        <v>0</v>
      </c>
      <c r="BN6" s="16">
        <f t="shared" si="15"/>
        <v>0.65644986919656168</v>
      </c>
      <c r="BO6" s="16">
        <f t="shared" si="16"/>
        <v>0.6916959882483259</v>
      </c>
      <c r="BP6" s="16">
        <f t="shared" si="17"/>
        <v>0.6916959882483259</v>
      </c>
      <c r="BQ6" s="16">
        <f t="shared" ref="BQ6:BS40" si="40">+(1-BN6)</f>
        <v>0.34355013080343832</v>
      </c>
      <c r="BR6" s="16">
        <f t="shared" si="40"/>
        <v>0.3083040117516741</v>
      </c>
      <c r="BS6" s="16">
        <f t="shared" si="40"/>
        <v>0.3083040117516741</v>
      </c>
      <c r="BT6" s="32">
        <f t="shared" ref="BT6:BU40" si="41">ROUND(1/BN6,2)</f>
        <v>1.52</v>
      </c>
      <c r="BU6" s="32">
        <f t="shared" si="41"/>
        <v>1.45</v>
      </c>
      <c r="BV6" s="32">
        <f t="shared" si="18"/>
        <v>1.45</v>
      </c>
      <c r="BW6" s="13">
        <f t="shared" ref="BW6:BW40" si="42">+B6</f>
        <v>44124</v>
      </c>
      <c r="BY6" s="31" t="s">
        <v>59</v>
      </c>
      <c r="BZ6" s="7" t="e">
        <f ca="1">1-VLOOKUP(1,BI$5:BW$40,7,FALSE)</f>
        <v>#N/A</v>
      </c>
    </row>
    <row r="7" spans="2:78" x14ac:dyDescent="0.25">
      <c r="B7" s="5">
        <f>Carga!J7</f>
        <v>44155</v>
      </c>
      <c r="C7" s="7">
        <f>Carga!$L7</f>
        <v>0.2969</v>
      </c>
      <c r="E7" s="6">
        <f>Carga!K7</f>
        <v>10221485</v>
      </c>
      <c r="F7" s="6">
        <f t="shared" si="19"/>
        <v>73856271.774175003</v>
      </c>
      <c r="G7" s="7">
        <f>+MAX(Carga!$D$8,MIN(Carga!$F$8,Carga!$E$8+$C7))</f>
        <v>0.30690000000000001</v>
      </c>
      <c r="H7" s="6">
        <f t="shared" ref="H7:H40" si="43">F7*G7/12</f>
        <v>1888874.1506245257</v>
      </c>
      <c r="I7" s="6">
        <f t="shared" si="0"/>
        <v>8332610.8493754743</v>
      </c>
      <c r="J7" s="6">
        <f>MIN(SUM(H$4:H7)-SUM(J$4:J6),E7)</f>
        <v>1888874.1506245257</v>
      </c>
      <c r="K7" s="6">
        <f t="shared" si="20"/>
        <v>10221485</v>
      </c>
      <c r="L7" s="29"/>
      <c r="M7" s="6">
        <f t="shared" si="1"/>
        <v>0</v>
      </c>
      <c r="N7" s="6">
        <f t="shared" si="21"/>
        <v>3677569</v>
      </c>
      <c r="O7" s="7">
        <f>+MAX(Carga!$D$9,MIN(Carga!$F$9,Carga!$E$9+$C7))</f>
        <v>0.32689999999999997</v>
      </c>
      <c r="P7" s="6">
        <f t="shared" ref="P7:P40" si="44">N7*O7/12</f>
        <v>100183.10884166666</v>
      </c>
      <c r="Q7" s="6">
        <f t="shared" si="2"/>
        <v>0</v>
      </c>
      <c r="R7" s="6">
        <f>MIN(SUM(P$4:P7)-SUM(R$4:R6),M7)</f>
        <v>0</v>
      </c>
      <c r="S7" s="6">
        <f t="shared" si="22"/>
        <v>0</v>
      </c>
      <c r="U7" s="6">
        <f t="shared" si="3"/>
        <v>0</v>
      </c>
      <c r="V7" s="6">
        <f t="shared" si="23"/>
        <v>0</v>
      </c>
      <c r="W7" s="7">
        <f>+MAX(Carga!$D$10,MIN(Carga!$F$10,Carga!$E$10+$C7))</f>
        <v>0.2969</v>
      </c>
      <c r="X7" s="6">
        <f t="shared" ref="X7:X40" si="45">V7*W7/12</f>
        <v>0</v>
      </c>
      <c r="Y7" s="6">
        <f t="shared" si="4"/>
        <v>0</v>
      </c>
      <c r="Z7" s="6">
        <f>MIN(SUM(X$4:X7)-SUM(Z$4:Z6),U7)</f>
        <v>0</v>
      </c>
      <c r="AA7" s="6">
        <f t="shared" si="24"/>
        <v>0</v>
      </c>
      <c r="AC7" s="6">
        <f t="shared" si="5"/>
        <v>0</v>
      </c>
      <c r="AD7" s="6">
        <f t="shared" si="25"/>
        <v>100</v>
      </c>
      <c r="AE7" s="7" t="b">
        <f>IF(MAX(AC8:AC$40)&gt;0,FALSE,TRUE)</f>
        <v>0</v>
      </c>
      <c r="AF7" s="6">
        <f t="shared" si="6"/>
        <v>0</v>
      </c>
      <c r="AG7" s="6">
        <f t="shared" si="7"/>
        <v>0</v>
      </c>
      <c r="AH7" s="6">
        <f t="shared" si="26"/>
        <v>0</v>
      </c>
      <c r="AJ7" s="6">
        <f t="shared" si="27"/>
        <v>94</v>
      </c>
      <c r="AL7" s="6">
        <f t="shared" si="28"/>
        <v>10221485</v>
      </c>
      <c r="AM7" s="6" t="e">
        <f t="shared" si="8"/>
        <v>#NUM!</v>
      </c>
      <c r="AN7" s="6" t="e">
        <f t="shared" si="29"/>
        <v>#NUM!</v>
      </c>
      <c r="AP7" s="6">
        <f t="shared" si="30"/>
        <v>0</v>
      </c>
      <c r="AQ7" s="6" t="e">
        <f t="shared" si="9"/>
        <v>#NUM!</v>
      </c>
      <c r="AR7" s="6" t="e">
        <f t="shared" si="31"/>
        <v>#NUM!</v>
      </c>
      <c r="AT7" s="6">
        <f t="shared" si="32"/>
        <v>0</v>
      </c>
      <c r="AU7" s="6" t="e">
        <f t="shared" si="10"/>
        <v>#NUM!</v>
      </c>
      <c r="AV7" s="6" t="e">
        <f t="shared" si="33"/>
        <v>#NUM!</v>
      </c>
      <c r="AX7" s="6">
        <f t="shared" si="34"/>
        <v>0</v>
      </c>
      <c r="AY7" s="6" t="e">
        <f t="shared" si="11"/>
        <v>#NUM!</v>
      </c>
      <c r="AZ7" s="6" t="e">
        <f t="shared" si="35"/>
        <v>#NUM!</v>
      </c>
      <c r="BB7" s="6">
        <f t="shared" si="36"/>
        <v>10221485</v>
      </c>
      <c r="BC7" s="6">
        <f t="shared" si="37"/>
        <v>0</v>
      </c>
      <c r="BD7" s="6">
        <f t="shared" si="38"/>
        <v>0</v>
      </c>
      <c r="BE7" s="6">
        <f t="shared" si="39"/>
        <v>0</v>
      </c>
      <c r="BG7" s="6">
        <f t="shared" si="12"/>
        <v>1</v>
      </c>
      <c r="BH7" s="6">
        <f t="shared" si="13"/>
        <v>1</v>
      </c>
      <c r="BI7" s="6">
        <f t="shared" ref="BI7:BI40" ca="1" si="46">+IF(AND(TODAY()&gt;B6,TODAY()&lt;=B7),1,0)</f>
        <v>0</v>
      </c>
      <c r="BJ7" s="6">
        <f>+SUM(E7:E$40)</f>
        <v>132486620</v>
      </c>
      <c r="BK7" s="6">
        <f>+SUM(J7:J$40)+F7</f>
        <v>83462036.947357208</v>
      </c>
      <c r="BL7" s="6">
        <f>+SUM(R7:R$40)+N7</f>
        <v>5029619.073919625</v>
      </c>
      <c r="BM7" s="6">
        <f>+SUM(Z7:Z$40)+V7</f>
        <v>0</v>
      </c>
      <c r="BN7" s="7">
        <f t="shared" si="15"/>
        <v>0.62996578029809502</v>
      </c>
      <c r="BO7" s="7">
        <f t="shared" si="16"/>
        <v>0.66792900310444048</v>
      </c>
      <c r="BP7" s="7">
        <f t="shared" si="17"/>
        <v>0.66792900310444048</v>
      </c>
      <c r="BQ7" s="7">
        <f t="shared" si="40"/>
        <v>0.37003421970190498</v>
      </c>
      <c r="BR7" s="7">
        <f t="shared" si="40"/>
        <v>0.33207099689555952</v>
      </c>
      <c r="BS7" s="7">
        <f t="shared" si="40"/>
        <v>0.33207099689555952</v>
      </c>
      <c r="BT7" s="31">
        <f t="shared" si="41"/>
        <v>1.59</v>
      </c>
      <c r="BU7" s="31">
        <f t="shared" si="41"/>
        <v>1.5</v>
      </c>
      <c r="BV7" s="31">
        <f t="shared" si="18"/>
        <v>1.5</v>
      </c>
      <c r="BW7" s="5">
        <f t="shared" si="42"/>
        <v>44155</v>
      </c>
      <c r="BY7" s="31" t="s">
        <v>60</v>
      </c>
      <c r="BZ7" s="7" t="e">
        <f ca="1">1-VLOOKUP(1,BI$5:BW$40,8,FALSE)</f>
        <v>#N/A</v>
      </c>
    </row>
    <row r="8" spans="2:78" x14ac:dyDescent="0.25">
      <c r="B8" s="13">
        <f>Carga!J8</f>
        <v>44186</v>
      </c>
      <c r="C8" s="16">
        <f>Carga!$L8</f>
        <v>0.2969</v>
      </c>
      <c r="E8" s="15">
        <f>Carga!K8</f>
        <v>9976092</v>
      </c>
      <c r="F8" s="15">
        <f t="shared" si="19"/>
        <v>65523660.924799532</v>
      </c>
      <c r="G8" s="16">
        <f>+MAX(Carga!$D$8,MIN(Carga!$F$8,Carga!$E$8+$C8))</f>
        <v>0.30690000000000001</v>
      </c>
      <c r="H8" s="15">
        <f t="shared" si="43"/>
        <v>1675767.6281517481</v>
      </c>
      <c r="I8" s="15">
        <f t="shared" si="0"/>
        <v>8300324.3718482517</v>
      </c>
      <c r="J8" s="15">
        <f>MIN(SUM(H$4:H8)-SUM(J$4:J7),E8)</f>
        <v>1675767.6281517483</v>
      </c>
      <c r="K8" s="15">
        <f t="shared" si="20"/>
        <v>9976092</v>
      </c>
      <c r="M8" s="15">
        <f t="shared" si="1"/>
        <v>0</v>
      </c>
      <c r="N8" s="15">
        <f t="shared" si="21"/>
        <v>3677569</v>
      </c>
      <c r="O8" s="16">
        <f>+MAX(Carga!$D$9,MIN(Carga!$F$9,Carga!$E$9+$C8))</f>
        <v>0.32689999999999997</v>
      </c>
      <c r="P8" s="15">
        <f t="shared" si="44"/>
        <v>100183.10884166666</v>
      </c>
      <c r="Q8" s="15">
        <f t="shared" si="2"/>
        <v>0</v>
      </c>
      <c r="R8" s="15">
        <f>MIN(SUM(P$4:P8)-SUM(R$4:R7),M8)</f>
        <v>0</v>
      </c>
      <c r="S8" s="15">
        <f t="shared" si="22"/>
        <v>0</v>
      </c>
      <c r="U8" s="15">
        <f t="shared" si="3"/>
        <v>0</v>
      </c>
      <c r="V8" s="15">
        <f t="shared" si="23"/>
        <v>0</v>
      </c>
      <c r="W8" s="16">
        <f>+MAX(Carga!$D$10,MIN(Carga!$F$10,Carga!$E$10+$C8))</f>
        <v>0.2969</v>
      </c>
      <c r="X8" s="15">
        <f t="shared" si="45"/>
        <v>0</v>
      </c>
      <c r="Y8" s="15">
        <f t="shared" si="4"/>
        <v>0</v>
      </c>
      <c r="Z8" s="15">
        <f>MIN(SUM(X$4:X8)-SUM(Z$4:Z7),U8)</f>
        <v>0</v>
      </c>
      <c r="AA8" s="15">
        <f t="shared" si="24"/>
        <v>0</v>
      </c>
      <c r="AC8" s="15">
        <f t="shared" si="5"/>
        <v>0</v>
      </c>
      <c r="AD8" s="15">
        <f t="shared" si="25"/>
        <v>100</v>
      </c>
      <c r="AE8" s="14" t="b">
        <f>IF(MAX(AC9:AC$40)&gt;0,FALSE,TRUE)</f>
        <v>0</v>
      </c>
      <c r="AF8" s="15">
        <f t="shared" si="6"/>
        <v>0</v>
      </c>
      <c r="AG8" s="15">
        <f t="shared" si="7"/>
        <v>0</v>
      </c>
      <c r="AH8" s="15">
        <f t="shared" si="26"/>
        <v>0</v>
      </c>
      <c r="AJ8" s="14">
        <f t="shared" si="27"/>
        <v>125</v>
      </c>
      <c r="AL8" s="15">
        <f t="shared" si="28"/>
        <v>9976092</v>
      </c>
      <c r="AM8" s="15" t="e">
        <f t="shared" si="8"/>
        <v>#NUM!</v>
      </c>
      <c r="AN8" s="14" t="e">
        <f t="shared" si="29"/>
        <v>#NUM!</v>
      </c>
      <c r="AP8" s="15">
        <f t="shared" si="30"/>
        <v>0</v>
      </c>
      <c r="AQ8" s="15" t="e">
        <f t="shared" si="9"/>
        <v>#NUM!</v>
      </c>
      <c r="AR8" s="15" t="e">
        <f t="shared" si="31"/>
        <v>#NUM!</v>
      </c>
      <c r="AT8" s="15">
        <f t="shared" si="32"/>
        <v>0</v>
      </c>
      <c r="AU8" s="15" t="e">
        <f t="shared" si="10"/>
        <v>#NUM!</v>
      </c>
      <c r="AV8" s="15" t="e">
        <f t="shared" si="33"/>
        <v>#NUM!</v>
      </c>
      <c r="AX8" s="15">
        <f t="shared" si="34"/>
        <v>0</v>
      </c>
      <c r="AY8" s="15" t="e">
        <f t="shared" si="11"/>
        <v>#NUM!</v>
      </c>
      <c r="AZ8" s="15" t="e">
        <f t="shared" si="35"/>
        <v>#NUM!</v>
      </c>
      <c r="BB8" s="15">
        <f t="shared" si="36"/>
        <v>9976092</v>
      </c>
      <c r="BC8" s="15">
        <f t="shared" si="37"/>
        <v>0</v>
      </c>
      <c r="BD8" s="15">
        <f t="shared" si="38"/>
        <v>0</v>
      </c>
      <c r="BE8" s="15">
        <f t="shared" si="39"/>
        <v>0</v>
      </c>
      <c r="BG8" s="15">
        <f t="shared" si="12"/>
        <v>0</v>
      </c>
      <c r="BH8" s="15">
        <f t="shared" si="13"/>
        <v>0</v>
      </c>
      <c r="BI8" s="15">
        <f t="shared" ca="1" si="46"/>
        <v>0</v>
      </c>
      <c r="BJ8" s="15">
        <f>+SUM(E8:E$40)</f>
        <v>122265135</v>
      </c>
      <c r="BK8" s="15">
        <f>+SUM(J8:J$40)+F8</f>
        <v>73240551.947357208</v>
      </c>
      <c r="BL8" s="15">
        <f>+SUM(R8:R$40)+N8</f>
        <v>5029619.073919625</v>
      </c>
      <c r="BM8" s="15">
        <f>+SUM(Z8:Z$40)+V8</f>
        <v>0</v>
      </c>
      <c r="BN8" s="16">
        <f t="shared" si="15"/>
        <v>0.59903055721778087</v>
      </c>
      <c r="BO8" s="16">
        <f t="shared" si="16"/>
        <v>0.6401675426218344</v>
      </c>
      <c r="BP8" s="16">
        <f t="shared" si="17"/>
        <v>0.6401675426218344</v>
      </c>
      <c r="BQ8" s="16">
        <f t="shared" si="40"/>
        <v>0.40096944278221913</v>
      </c>
      <c r="BR8" s="16">
        <f t="shared" si="40"/>
        <v>0.3598324573781656</v>
      </c>
      <c r="BS8" s="16">
        <f t="shared" si="40"/>
        <v>0.3598324573781656</v>
      </c>
      <c r="BT8" s="32">
        <f t="shared" si="41"/>
        <v>1.67</v>
      </c>
      <c r="BU8" s="32">
        <f t="shared" si="41"/>
        <v>1.56</v>
      </c>
      <c r="BV8" s="32">
        <f t="shared" si="18"/>
        <v>1.56</v>
      </c>
      <c r="BW8" s="13">
        <f t="shared" si="42"/>
        <v>44186</v>
      </c>
      <c r="BY8" s="31" t="s">
        <v>61</v>
      </c>
      <c r="BZ8" s="5">
        <f>+VLOOKUP(1,BG$5:BW$40,17,FALSE)</f>
        <v>44155</v>
      </c>
    </row>
    <row r="9" spans="2:78" x14ac:dyDescent="0.25">
      <c r="B9" s="5">
        <f>Carga!J9</f>
        <v>44216</v>
      </c>
      <c r="C9" s="7">
        <f>Carga!$L9</f>
        <v>0.2969</v>
      </c>
      <c r="E9" s="6">
        <f>Carga!K9</f>
        <v>10081787</v>
      </c>
      <c r="F9" s="6">
        <f t="shared" si="19"/>
        <v>57223336.552951276</v>
      </c>
      <c r="G9" s="7">
        <f>+MAX(Carga!$D$8,MIN(Carga!$F$8,Carga!$E$8+$C9))</f>
        <v>0.30690000000000001</v>
      </c>
      <c r="H9" s="6">
        <f t="shared" si="43"/>
        <v>1463486.832341729</v>
      </c>
      <c r="I9" s="6">
        <f t="shared" si="0"/>
        <v>8618300.1676582713</v>
      </c>
      <c r="J9" s="6">
        <f>MIN(SUM(H$4:H9)-SUM(J$4:J8),E9)</f>
        <v>1463486.8323417287</v>
      </c>
      <c r="K9" s="6">
        <f t="shared" si="20"/>
        <v>10081787</v>
      </c>
      <c r="M9" s="6">
        <f t="shared" si="1"/>
        <v>0</v>
      </c>
      <c r="N9" s="6">
        <f t="shared" si="21"/>
        <v>3677569</v>
      </c>
      <c r="O9" s="7">
        <f>+MAX(Carga!$D$9,MIN(Carga!$F$9,Carga!$E$9+$C9))</f>
        <v>0.32689999999999997</v>
      </c>
      <c r="P9" s="6">
        <f t="shared" si="44"/>
        <v>100183.10884166666</v>
      </c>
      <c r="Q9" s="6">
        <f t="shared" si="2"/>
        <v>0</v>
      </c>
      <c r="R9" s="6">
        <f>MIN(SUM(P$4:P9)-SUM(R$4:R8),M9)</f>
        <v>0</v>
      </c>
      <c r="S9" s="6">
        <f t="shared" si="22"/>
        <v>0</v>
      </c>
      <c r="U9" s="6">
        <f t="shared" si="3"/>
        <v>0</v>
      </c>
      <c r="V9" s="6">
        <f t="shared" si="23"/>
        <v>0</v>
      </c>
      <c r="W9" s="7">
        <f>+MAX(Carga!$D$10,MIN(Carga!$F$10,Carga!$E$10+$C9))</f>
        <v>0.2969</v>
      </c>
      <c r="X9" s="6">
        <f t="shared" si="45"/>
        <v>0</v>
      </c>
      <c r="Y9" s="6">
        <f t="shared" si="4"/>
        <v>0</v>
      </c>
      <c r="Z9" s="6">
        <f>MIN(SUM(X$4:X9)-SUM(Z$4:Z8),U9)</f>
        <v>0</v>
      </c>
      <c r="AA9" s="6">
        <f t="shared" si="24"/>
        <v>0</v>
      </c>
      <c r="AC9" s="6">
        <f t="shared" si="5"/>
        <v>0</v>
      </c>
      <c r="AD9" s="6">
        <f t="shared" si="25"/>
        <v>100</v>
      </c>
      <c r="AE9" s="7" t="b">
        <f>IF(MAX(AC10:AC$40)&gt;0,FALSE,TRUE)</f>
        <v>0</v>
      </c>
      <c r="AF9" s="6">
        <f t="shared" si="6"/>
        <v>0</v>
      </c>
      <c r="AG9" s="6">
        <f t="shared" si="7"/>
        <v>0</v>
      </c>
      <c r="AH9" s="6">
        <f t="shared" si="26"/>
        <v>0</v>
      </c>
      <c r="AJ9" s="6">
        <f t="shared" si="27"/>
        <v>155</v>
      </c>
      <c r="AL9" s="6">
        <f t="shared" si="28"/>
        <v>10081787</v>
      </c>
      <c r="AM9" s="6" t="e">
        <f t="shared" si="8"/>
        <v>#NUM!</v>
      </c>
      <c r="AN9" s="6" t="e">
        <f t="shared" si="29"/>
        <v>#NUM!</v>
      </c>
      <c r="AP9" s="6">
        <f t="shared" si="30"/>
        <v>0</v>
      </c>
      <c r="AQ9" s="6" t="e">
        <f t="shared" si="9"/>
        <v>#NUM!</v>
      </c>
      <c r="AR9" s="6" t="e">
        <f t="shared" si="31"/>
        <v>#NUM!</v>
      </c>
      <c r="AT9" s="6">
        <f t="shared" si="32"/>
        <v>0</v>
      </c>
      <c r="AU9" s="6" t="e">
        <f t="shared" si="10"/>
        <v>#NUM!</v>
      </c>
      <c r="AV9" s="6" t="e">
        <f t="shared" si="33"/>
        <v>#NUM!</v>
      </c>
      <c r="AX9" s="6">
        <f t="shared" si="34"/>
        <v>0</v>
      </c>
      <c r="AY9" s="6" t="e">
        <f t="shared" si="11"/>
        <v>#NUM!</v>
      </c>
      <c r="AZ9" s="6" t="e">
        <f t="shared" si="35"/>
        <v>#NUM!</v>
      </c>
      <c r="BB9" s="6">
        <f t="shared" si="36"/>
        <v>10081787</v>
      </c>
      <c r="BC9" s="6">
        <f t="shared" si="37"/>
        <v>0</v>
      </c>
      <c r="BD9" s="6">
        <f t="shared" si="38"/>
        <v>0</v>
      </c>
      <c r="BE9" s="6">
        <f t="shared" si="39"/>
        <v>0</v>
      </c>
      <c r="BG9" s="6">
        <f t="shared" si="12"/>
        <v>0</v>
      </c>
      <c r="BH9" s="6">
        <f t="shared" si="13"/>
        <v>0</v>
      </c>
      <c r="BI9" s="6">
        <f t="shared" ca="1" si="46"/>
        <v>0</v>
      </c>
      <c r="BJ9" s="6">
        <f>+SUM(E9:E$40)</f>
        <v>112289043</v>
      </c>
      <c r="BK9" s="6">
        <f>+SUM(J9:J$40)+F9</f>
        <v>63264459.9473572</v>
      </c>
      <c r="BL9" s="6">
        <f>+SUM(R9:R$40)+N9</f>
        <v>5029619.073919625</v>
      </c>
      <c r="BM9" s="6">
        <f>+SUM(Z9:Z$40)+V9</f>
        <v>0</v>
      </c>
      <c r="BN9" s="7">
        <f t="shared" si="15"/>
        <v>0.56340724132235409</v>
      </c>
      <c r="BO9" s="7">
        <f t="shared" si="16"/>
        <v>0.60819895865776352</v>
      </c>
      <c r="BP9" s="7">
        <f t="shared" si="17"/>
        <v>0.60819895865776352</v>
      </c>
      <c r="BQ9" s="7">
        <f t="shared" si="40"/>
        <v>0.43659275867764591</v>
      </c>
      <c r="BR9" s="7">
        <f t="shared" si="40"/>
        <v>0.39180104134223648</v>
      </c>
      <c r="BS9" s="7">
        <f t="shared" si="40"/>
        <v>0.39180104134223648</v>
      </c>
      <c r="BT9" s="31">
        <f t="shared" si="41"/>
        <v>1.77</v>
      </c>
      <c r="BU9" s="31">
        <f t="shared" si="41"/>
        <v>1.64</v>
      </c>
      <c r="BV9" s="31">
        <f t="shared" si="18"/>
        <v>1.64</v>
      </c>
      <c r="BW9" s="5">
        <f t="shared" si="42"/>
        <v>44216</v>
      </c>
      <c r="BY9" s="31" t="s">
        <v>62</v>
      </c>
      <c r="BZ9" s="5">
        <f>+VLOOKUP(1,BH$5:BW$40,16,FALSE)</f>
        <v>44155</v>
      </c>
    </row>
    <row r="10" spans="2:78" x14ac:dyDescent="0.25">
      <c r="B10" s="13">
        <f>Carga!J10</f>
        <v>44249</v>
      </c>
      <c r="C10" s="16">
        <f>Carga!$L10</f>
        <v>0.2969</v>
      </c>
      <c r="E10" s="15">
        <f>Carga!K10</f>
        <v>10103823</v>
      </c>
      <c r="F10" s="15">
        <f t="shared" si="19"/>
        <v>48605036.385293007</v>
      </c>
      <c r="G10" s="16">
        <f>+MAX(Carga!$D$8,MIN(Carga!$F$8,Carga!$E$8+$C10))</f>
        <v>0.30690000000000001</v>
      </c>
      <c r="H10" s="15">
        <f t="shared" si="43"/>
        <v>1243073.8055538686</v>
      </c>
      <c r="I10" s="15">
        <f t="shared" si="0"/>
        <v>8860749.1944461316</v>
      </c>
      <c r="J10" s="15">
        <f>MIN(SUM(H$4:H10)-SUM(J$4:J9),E10)</f>
        <v>1243073.8055538684</v>
      </c>
      <c r="K10" s="15">
        <f t="shared" si="20"/>
        <v>10103823</v>
      </c>
      <c r="M10" s="15">
        <f t="shared" si="1"/>
        <v>0</v>
      </c>
      <c r="N10" s="15">
        <f t="shared" si="21"/>
        <v>3677569</v>
      </c>
      <c r="O10" s="16">
        <f>+MAX(Carga!$D$9,MIN(Carga!$F$9,Carga!$E$9+$C10))</f>
        <v>0.32689999999999997</v>
      </c>
      <c r="P10" s="15">
        <f t="shared" si="44"/>
        <v>100183.10884166666</v>
      </c>
      <c r="Q10" s="15">
        <f t="shared" si="2"/>
        <v>0</v>
      </c>
      <c r="R10" s="15">
        <f>MIN(SUM(P$4:P10)-SUM(R$4:R9),M10)</f>
        <v>0</v>
      </c>
      <c r="S10" s="15">
        <f t="shared" si="22"/>
        <v>0</v>
      </c>
      <c r="U10" s="15">
        <f t="shared" si="3"/>
        <v>0</v>
      </c>
      <c r="V10" s="15">
        <f t="shared" si="23"/>
        <v>0</v>
      </c>
      <c r="W10" s="16">
        <f>+MAX(Carga!$D$10,MIN(Carga!$F$10,Carga!$E$10+$C10))</f>
        <v>0.2969</v>
      </c>
      <c r="X10" s="15">
        <f t="shared" si="45"/>
        <v>0</v>
      </c>
      <c r="Y10" s="15">
        <f t="shared" si="4"/>
        <v>0</v>
      </c>
      <c r="Z10" s="15">
        <f>MIN(SUM(X$4:X10)-SUM(Z$4:Z9),U10)</f>
        <v>0</v>
      </c>
      <c r="AA10" s="15">
        <f t="shared" si="24"/>
        <v>0</v>
      </c>
      <c r="AC10" s="15">
        <f t="shared" si="5"/>
        <v>0</v>
      </c>
      <c r="AD10" s="15">
        <f t="shared" si="25"/>
        <v>100</v>
      </c>
      <c r="AE10" s="14" t="b">
        <f>IF(MAX(AC11:AC$40)&gt;0,FALSE,TRUE)</f>
        <v>0</v>
      </c>
      <c r="AF10" s="15">
        <f t="shared" si="6"/>
        <v>0</v>
      </c>
      <c r="AG10" s="15">
        <f t="shared" si="7"/>
        <v>0</v>
      </c>
      <c r="AH10" s="15">
        <f t="shared" si="26"/>
        <v>0</v>
      </c>
      <c r="AJ10" s="14">
        <f t="shared" si="27"/>
        <v>188</v>
      </c>
      <c r="AL10" s="15">
        <f t="shared" si="28"/>
        <v>10103823</v>
      </c>
      <c r="AM10" s="15" t="e">
        <f t="shared" si="8"/>
        <v>#NUM!</v>
      </c>
      <c r="AN10" s="14" t="e">
        <f t="shared" si="29"/>
        <v>#NUM!</v>
      </c>
      <c r="AP10" s="15">
        <f t="shared" si="30"/>
        <v>0</v>
      </c>
      <c r="AQ10" s="15" t="e">
        <f t="shared" si="9"/>
        <v>#NUM!</v>
      </c>
      <c r="AR10" s="15" t="e">
        <f t="shared" si="31"/>
        <v>#NUM!</v>
      </c>
      <c r="AT10" s="15">
        <f t="shared" si="32"/>
        <v>0</v>
      </c>
      <c r="AU10" s="15" t="e">
        <f t="shared" si="10"/>
        <v>#NUM!</v>
      </c>
      <c r="AV10" s="15" t="e">
        <f t="shared" si="33"/>
        <v>#NUM!</v>
      </c>
      <c r="AX10" s="15">
        <f t="shared" si="34"/>
        <v>0</v>
      </c>
      <c r="AY10" s="15" t="e">
        <f t="shared" si="11"/>
        <v>#NUM!</v>
      </c>
      <c r="AZ10" s="15" t="e">
        <f t="shared" si="35"/>
        <v>#NUM!</v>
      </c>
      <c r="BB10" s="15">
        <f t="shared" si="36"/>
        <v>10103823</v>
      </c>
      <c r="BC10" s="15">
        <f t="shared" si="37"/>
        <v>0</v>
      </c>
      <c r="BD10" s="15">
        <f t="shared" si="38"/>
        <v>0</v>
      </c>
      <c r="BE10" s="15">
        <f t="shared" si="39"/>
        <v>0</v>
      </c>
      <c r="BG10" s="15">
        <f t="shared" si="12"/>
        <v>0</v>
      </c>
      <c r="BH10" s="15">
        <f t="shared" si="13"/>
        <v>0</v>
      </c>
      <c r="BI10" s="15">
        <f t="shared" ca="1" si="46"/>
        <v>0</v>
      </c>
      <c r="BJ10" s="15">
        <f>+SUM(E10:E$40)</f>
        <v>102207256</v>
      </c>
      <c r="BK10" s="15">
        <f>+SUM(J10:J$40)+F10</f>
        <v>53182672.9473572</v>
      </c>
      <c r="BL10" s="15">
        <f>+SUM(R10:R$40)+N10</f>
        <v>5029619.073919625</v>
      </c>
      <c r="BM10" s="15">
        <f>+SUM(Z10:Z$40)+V10</f>
        <v>0</v>
      </c>
      <c r="BN10" s="16">
        <f t="shared" si="15"/>
        <v>0.52034146134749182</v>
      </c>
      <c r="BO10" s="16">
        <f t="shared" si="16"/>
        <v>0.56955146140775781</v>
      </c>
      <c r="BP10" s="16">
        <f t="shared" si="17"/>
        <v>0.56955146140775781</v>
      </c>
      <c r="BQ10" s="16">
        <f t="shared" si="40"/>
        <v>0.47965853865250818</v>
      </c>
      <c r="BR10" s="16">
        <f t="shared" si="40"/>
        <v>0.43044853859224219</v>
      </c>
      <c r="BS10" s="16">
        <f t="shared" si="40"/>
        <v>0.43044853859224219</v>
      </c>
      <c r="BT10" s="32">
        <f t="shared" si="41"/>
        <v>1.92</v>
      </c>
      <c r="BU10" s="32">
        <f t="shared" si="41"/>
        <v>1.76</v>
      </c>
      <c r="BV10" s="32">
        <f t="shared" si="18"/>
        <v>1.76</v>
      </c>
      <c r="BW10" s="13">
        <f t="shared" si="42"/>
        <v>44249</v>
      </c>
    </row>
    <row r="11" spans="2:78" x14ac:dyDescent="0.25">
      <c r="B11" s="5">
        <f>Carga!J11</f>
        <v>44277</v>
      </c>
      <c r="C11" s="7">
        <f>Carga!$L11</f>
        <v>0.2969</v>
      </c>
      <c r="E11" s="6">
        <f>Carga!K11</f>
        <v>9997213</v>
      </c>
      <c r="F11" s="6">
        <f t="shared" si="19"/>
        <v>39744287.190846875</v>
      </c>
      <c r="G11" s="7">
        <f>+MAX(Carga!$D$8,MIN(Carga!$F$8,Carga!$E$8+$C11))</f>
        <v>0.30690000000000001</v>
      </c>
      <c r="H11" s="6">
        <f t="shared" si="43"/>
        <v>1016460.1449059088</v>
      </c>
      <c r="I11" s="6">
        <f t="shared" si="0"/>
        <v>8980752.855094092</v>
      </c>
      <c r="J11" s="6">
        <f>MIN(SUM(H$4:H11)-SUM(J$4:J10),E11)</f>
        <v>1016460.144905908</v>
      </c>
      <c r="K11" s="6">
        <f t="shared" si="20"/>
        <v>9997213</v>
      </c>
      <c r="M11" s="6">
        <f t="shared" si="1"/>
        <v>0</v>
      </c>
      <c r="N11" s="6">
        <f t="shared" si="21"/>
        <v>3677569</v>
      </c>
      <c r="O11" s="7">
        <f>+MAX(Carga!$D$9,MIN(Carga!$F$9,Carga!$E$9+$C11))</f>
        <v>0.32689999999999997</v>
      </c>
      <c r="P11" s="6">
        <f t="shared" si="44"/>
        <v>100183.10884166666</v>
      </c>
      <c r="Q11" s="6">
        <f t="shared" si="2"/>
        <v>0</v>
      </c>
      <c r="R11" s="6">
        <f>MIN(SUM(P$4:P11)-SUM(R$4:R10),M11)</f>
        <v>0</v>
      </c>
      <c r="S11" s="6">
        <f t="shared" si="22"/>
        <v>0</v>
      </c>
      <c r="U11" s="6">
        <f t="shared" si="3"/>
        <v>0</v>
      </c>
      <c r="V11" s="6">
        <f t="shared" si="23"/>
        <v>0</v>
      </c>
      <c r="W11" s="7">
        <f>+MAX(Carga!$D$10,MIN(Carga!$F$10,Carga!$E$10+$C11))</f>
        <v>0.2969</v>
      </c>
      <c r="X11" s="6">
        <f t="shared" si="45"/>
        <v>0</v>
      </c>
      <c r="Y11" s="6">
        <f t="shared" si="4"/>
        <v>0</v>
      </c>
      <c r="Z11" s="6">
        <f>MIN(SUM(X$4:X11)-SUM(Z$4:Z10),U11)</f>
        <v>0</v>
      </c>
      <c r="AA11" s="6">
        <f t="shared" si="24"/>
        <v>0</v>
      </c>
      <c r="AC11" s="6">
        <f t="shared" si="5"/>
        <v>0</v>
      </c>
      <c r="AD11" s="6">
        <f t="shared" si="25"/>
        <v>100</v>
      </c>
      <c r="AE11" s="7" t="b">
        <f>IF(MAX(AC12:AC$40)&gt;0,FALSE,TRUE)</f>
        <v>0</v>
      </c>
      <c r="AF11" s="6">
        <f t="shared" si="6"/>
        <v>0</v>
      </c>
      <c r="AG11" s="6">
        <f t="shared" si="7"/>
        <v>0</v>
      </c>
      <c r="AH11" s="6">
        <f t="shared" si="26"/>
        <v>0</v>
      </c>
      <c r="AJ11" s="6">
        <f t="shared" si="27"/>
        <v>216</v>
      </c>
      <c r="AL11" s="6">
        <f t="shared" si="28"/>
        <v>9997213</v>
      </c>
      <c r="AM11" s="6" t="e">
        <f t="shared" si="8"/>
        <v>#NUM!</v>
      </c>
      <c r="AN11" s="6" t="e">
        <f t="shared" si="29"/>
        <v>#NUM!</v>
      </c>
      <c r="AP11" s="6">
        <f t="shared" si="30"/>
        <v>0</v>
      </c>
      <c r="AQ11" s="6" t="e">
        <f t="shared" si="9"/>
        <v>#NUM!</v>
      </c>
      <c r="AR11" s="6" t="e">
        <f t="shared" si="31"/>
        <v>#NUM!</v>
      </c>
      <c r="AT11" s="6">
        <f t="shared" si="32"/>
        <v>0</v>
      </c>
      <c r="AU11" s="6" t="e">
        <f t="shared" si="10"/>
        <v>#NUM!</v>
      </c>
      <c r="AV11" s="6" t="e">
        <f t="shared" si="33"/>
        <v>#NUM!</v>
      </c>
      <c r="AX11" s="6">
        <f t="shared" si="34"/>
        <v>0</v>
      </c>
      <c r="AY11" s="6" t="e">
        <f t="shared" si="11"/>
        <v>#NUM!</v>
      </c>
      <c r="AZ11" s="6" t="e">
        <f t="shared" si="35"/>
        <v>#NUM!</v>
      </c>
      <c r="BB11" s="6">
        <f t="shared" si="36"/>
        <v>9997213</v>
      </c>
      <c r="BC11" s="6">
        <f t="shared" si="37"/>
        <v>0</v>
      </c>
      <c r="BD11" s="6">
        <f t="shared" si="38"/>
        <v>0</v>
      </c>
      <c r="BE11" s="6">
        <f t="shared" si="39"/>
        <v>0</v>
      </c>
      <c r="BG11" s="6">
        <f>+IF(AND(BU11&gt;=BT$5,BU10&lt;BT$5),1,0)</f>
        <v>0</v>
      </c>
      <c r="BH11" s="6">
        <f t="shared" si="13"/>
        <v>0</v>
      </c>
      <c r="BI11" s="6">
        <f t="shared" ca="1" si="46"/>
        <v>0</v>
      </c>
      <c r="BJ11" s="6">
        <f>+SUM(E11:E$40)</f>
        <v>92103433</v>
      </c>
      <c r="BK11" s="6">
        <f>+SUM(J11:J$40)+F11</f>
        <v>43078849.9473572</v>
      </c>
      <c r="BL11" s="6">
        <f>+SUM(R11:R$40)+N11</f>
        <v>5029619.073919625</v>
      </c>
      <c r="BM11" s="6">
        <f>+SUM(Z11:Z$40)+V11</f>
        <v>0</v>
      </c>
      <c r="BN11" s="7">
        <f t="shared" si="15"/>
        <v>0.46772252178002094</v>
      </c>
      <c r="BO11" s="7">
        <f t="shared" si="16"/>
        <v>0.52233089966664792</v>
      </c>
      <c r="BP11" s="7">
        <f t="shared" si="17"/>
        <v>0.52233089966664792</v>
      </c>
      <c r="BQ11" s="7">
        <f t="shared" si="40"/>
        <v>0.53227747821997906</v>
      </c>
      <c r="BR11" s="7">
        <f t="shared" si="40"/>
        <v>0.47766910033335208</v>
      </c>
      <c r="BS11" s="7">
        <f t="shared" si="40"/>
        <v>0.47766910033335208</v>
      </c>
      <c r="BT11" s="31">
        <f t="shared" si="41"/>
        <v>2.14</v>
      </c>
      <c r="BU11" s="31">
        <f t="shared" si="41"/>
        <v>1.91</v>
      </c>
      <c r="BV11" s="31">
        <f t="shared" si="18"/>
        <v>1.91</v>
      </c>
      <c r="BW11" s="5">
        <f t="shared" si="42"/>
        <v>44277</v>
      </c>
    </row>
    <row r="12" spans="2:78" x14ac:dyDescent="0.25">
      <c r="B12" s="13">
        <f>Carga!J12</f>
        <v>44306</v>
      </c>
      <c r="C12" s="16">
        <f>Carga!$L12</f>
        <v>0.2969</v>
      </c>
      <c r="E12" s="15">
        <f>Carga!K12</f>
        <v>8747124</v>
      </c>
      <c r="F12" s="15">
        <f t="shared" si="19"/>
        <v>30763534.335752785</v>
      </c>
      <c r="G12" s="16">
        <f>+MAX(Carga!$D$8,MIN(Carga!$F$8,Carga!$E$8+$C12))</f>
        <v>0.30690000000000001</v>
      </c>
      <c r="H12" s="15">
        <f t="shared" si="43"/>
        <v>786777.39063687751</v>
      </c>
      <c r="I12" s="15">
        <f t="shared" si="0"/>
        <v>7960346.6093631219</v>
      </c>
      <c r="J12" s="15">
        <f>MIN(SUM(H$4:H12)-SUM(J$4:J11),E12)</f>
        <v>786777.39063687809</v>
      </c>
      <c r="K12" s="15">
        <f t="shared" si="20"/>
        <v>8747124</v>
      </c>
      <c r="M12" s="15">
        <f>MAX(E12-K12,0)</f>
        <v>0</v>
      </c>
      <c r="N12" s="15">
        <f t="shared" si="21"/>
        <v>3677569</v>
      </c>
      <c r="O12" s="16">
        <f>+MAX(Carga!$D$9,MIN(Carga!$F$9,Carga!$E$9+$C12))</f>
        <v>0.32689999999999997</v>
      </c>
      <c r="P12" s="15">
        <f t="shared" si="44"/>
        <v>100183.10884166666</v>
      </c>
      <c r="Q12" s="15">
        <f t="shared" si="2"/>
        <v>0</v>
      </c>
      <c r="R12" s="15">
        <f>MIN(SUM(P$4:P12)-SUM(R$4:R11),M12)</f>
        <v>0</v>
      </c>
      <c r="S12" s="15">
        <f t="shared" si="22"/>
        <v>0</v>
      </c>
      <c r="U12" s="15">
        <f t="shared" si="3"/>
        <v>0</v>
      </c>
      <c r="V12" s="15">
        <f t="shared" si="23"/>
        <v>0</v>
      </c>
      <c r="W12" s="16">
        <f>+MAX(Carga!$D$10,MIN(Carga!$F$10,Carga!$E$10+$C12))</f>
        <v>0.2969</v>
      </c>
      <c r="X12" s="15">
        <f t="shared" si="45"/>
        <v>0</v>
      </c>
      <c r="Y12" s="15">
        <f t="shared" si="4"/>
        <v>0</v>
      </c>
      <c r="Z12" s="15">
        <f>MIN(SUM(X$4:X12)-SUM(Z$4:Z11),U12)</f>
        <v>0</v>
      </c>
      <c r="AA12" s="15">
        <f t="shared" si="24"/>
        <v>0</v>
      </c>
      <c r="AC12" s="15">
        <f t="shared" si="5"/>
        <v>0</v>
      </c>
      <c r="AD12" s="15">
        <f t="shared" si="25"/>
        <v>100</v>
      </c>
      <c r="AE12" s="14" t="b">
        <f>IF(MAX(AC13:AC$40)&gt;0,FALSE,TRUE)</f>
        <v>0</v>
      </c>
      <c r="AF12" s="15">
        <f t="shared" si="6"/>
        <v>0</v>
      </c>
      <c r="AG12" s="15">
        <f t="shared" si="7"/>
        <v>0</v>
      </c>
      <c r="AH12" s="15">
        <f t="shared" si="26"/>
        <v>0</v>
      </c>
      <c r="AJ12" s="14">
        <f t="shared" si="27"/>
        <v>245</v>
      </c>
      <c r="AL12" s="15">
        <f t="shared" si="28"/>
        <v>8747124</v>
      </c>
      <c r="AM12" s="15" t="e">
        <f t="shared" si="8"/>
        <v>#NUM!</v>
      </c>
      <c r="AN12" s="14" t="e">
        <f t="shared" si="29"/>
        <v>#NUM!</v>
      </c>
      <c r="AP12" s="15">
        <f t="shared" si="30"/>
        <v>0</v>
      </c>
      <c r="AQ12" s="15" t="e">
        <f t="shared" si="9"/>
        <v>#NUM!</v>
      </c>
      <c r="AR12" s="15" t="e">
        <f>$AJ12*AQ12/-AP$4</f>
        <v>#NUM!</v>
      </c>
      <c r="AT12" s="15">
        <f t="shared" si="32"/>
        <v>0</v>
      </c>
      <c r="AU12" s="15" t="e">
        <f t="shared" si="10"/>
        <v>#NUM!</v>
      </c>
      <c r="AV12" s="15" t="e">
        <f t="shared" si="33"/>
        <v>#NUM!</v>
      </c>
      <c r="AX12" s="15">
        <f t="shared" si="34"/>
        <v>0</v>
      </c>
      <c r="AY12" s="15" t="e">
        <f t="shared" si="11"/>
        <v>#NUM!</v>
      </c>
      <c r="AZ12" s="15" t="e">
        <f t="shared" si="35"/>
        <v>#NUM!</v>
      </c>
      <c r="BB12" s="15">
        <f t="shared" si="36"/>
        <v>8747124</v>
      </c>
      <c r="BC12" s="15">
        <f>S12</f>
        <v>0</v>
      </c>
      <c r="BD12" s="15">
        <f t="shared" si="38"/>
        <v>0</v>
      </c>
      <c r="BE12" s="15">
        <f t="shared" si="39"/>
        <v>0</v>
      </c>
      <c r="BG12" s="15">
        <f t="shared" ref="BG12:BG40" si="47">+IF(AND(BU12&gt;=BT$5,BU11&lt;BT$5),1,0)</f>
        <v>0</v>
      </c>
      <c r="BH12" s="15">
        <f t="shared" si="13"/>
        <v>0</v>
      </c>
      <c r="BI12" s="15">
        <f t="shared" ca="1" si="46"/>
        <v>0</v>
      </c>
      <c r="BJ12" s="15">
        <f>+SUM(E12:E$40)</f>
        <v>82106220</v>
      </c>
      <c r="BK12" s="15">
        <f>+SUM(J12:J$40)+F12</f>
        <v>33081636.947357204</v>
      </c>
      <c r="BL12" s="15">
        <f>+SUM(R12:R$40)+N12</f>
        <v>5029619.073919625</v>
      </c>
      <c r="BM12" s="15">
        <f>+SUM(Z12:Z$40)+V12</f>
        <v>0</v>
      </c>
      <c r="BN12" s="16">
        <f t="shared" si="15"/>
        <v>0.40291267759442834</v>
      </c>
      <c r="BO12" s="16">
        <f t="shared" si="16"/>
        <v>0.46417014473783874</v>
      </c>
      <c r="BP12" s="16">
        <f t="shared" si="17"/>
        <v>0.46417014473783874</v>
      </c>
      <c r="BQ12" s="16">
        <f t="shared" si="40"/>
        <v>0.59708732240557172</v>
      </c>
      <c r="BR12" s="16">
        <f t="shared" si="40"/>
        <v>0.5358298552621612</v>
      </c>
      <c r="BS12" s="16">
        <f t="shared" si="40"/>
        <v>0.5358298552621612</v>
      </c>
      <c r="BT12" s="32">
        <f t="shared" si="41"/>
        <v>2.48</v>
      </c>
      <c r="BU12" s="32">
        <f t="shared" si="41"/>
        <v>2.15</v>
      </c>
      <c r="BV12" s="32">
        <f t="shared" si="18"/>
        <v>2.15</v>
      </c>
      <c r="BW12" s="13">
        <f t="shared" si="42"/>
        <v>44306</v>
      </c>
    </row>
    <row r="13" spans="2:78" x14ac:dyDescent="0.25">
      <c r="B13" s="5">
        <f>Carga!J13</f>
        <v>44336</v>
      </c>
      <c r="C13" s="7">
        <f>Carga!$L13</f>
        <v>0.2969</v>
      </c>
      <c r="E13" s="6">
        <f>Carga!K13</f>
        <v>6705072</v>
      </c>
      <c r="F13" s="6">
        <f t="shared" si="19"/>
        <v>22803187.726389661</v>
      </c>
      <c r="G13" s="7">
        <f>+MAX(Carga!$D$8,MIN(Carga!$F$8,Carga!$E$8+$C13))</f>
        <v>0.30690000000000001</v>
      </c>
      <c r="H13" s="6">
        <f t="shared" si="43"/>
        <v>583191.52610241564</v>
      </c>
      <c r="I13" s="6">
        <f t="shared" si="0"/>
        <v>6121880.4738975838</v>
      </c>
      <c r="J13" s="6">
        <f>MIN(SUM(H$4:H13)-SUM(J$4:J12),E13)</f>
        <v>583191.52610241622</v>
      </c>
      <c r="K13" s="6">
        <f t="shared" si="20"/>
        <v>6705072</v>
      </c>
      <c r="M13" s="6">
        <f t="shared" si="1"/>
        <v>0</v>
      </c>
      <c r="N13" s="6">
        <f t="shared" si="21"/>
        <v>3677569</v>
      </c>
      <c r="O13" s="7">
        <f>+MAX(Carga!$D$9,MIN(Carga!$F$9,Carga!$E$9+$C13))</f>
        <v>0.32689999999999997</v>
      </c>
      <c r="P13" s="6">
        <f t="shared" si="44"/>
        <v>100183.10884166666</v>
      </c>
      <c r="Q13" s="6">
        <f t="shared" si="2"/>
        <v>0</v>
      </c>
      <c r="R13" s="6">
        <f>MIN(SUM(P$4:P13)-SUM(R$4:R12),M13)</f>
        <v>0</v>
      </c>
      <c r="S13" s="6">
        <f t="shared" si="22"/>
        <v>0</v>
      </c>
      <c r="U13" s="6">
        <f>MAX(M13-S13,0)</f>
        <v>0</v>
      </c>
      <c r="V13" s="6">
        <f t="shared" si="23"/>
        <v>0</v>
      </c>
      <c r="W13" s="7">
        <f>+MAX(Carga!$D$10,MIN(Carga!$F$10,Carga!$E$10+$C13))</f>
        <v>0.2969</v>
      </c>
      <c r="X13" s="6">
        <f t="shared" si="45"/>
        <v>0</v>
      </c>
      <c r="Y13" s="6">
        <f t="shared" si="4"/>
        <v>0</v>
      </c>
      <c r="Z13" s="6">
        <f>MIN(SUM(X$4:X13)-SUM(Z$4:Z12),U13)</f>
        <v>0</v>
      </c>
      <c r="AA13" s="6">
        <f t="shared" si="24"/>
        <v>0</v>
      </c>
      <c r="AC13" s="6">
        <f t="shared" si="5"/>
        <v>0</v>
      </c>
      <c r="AD13" s="6">
        <f t="shared" si="25"/>
        <v>100</v>
      </c>
      <c r="AE13" s="7" t="b">
        <f>IF(MAX(AC14:AC$40)&gt;0,FALSE,TRUE)</f>
        <v>0</v>
      </c>
      <c r="AF13" s="6">
        <f t="shared" si="6"/>
        <v>0</v>
      </c>
      <c r="AG13" s="6">
        <f t="shared" si="7"/>
        <v>0</v>
      </c>
      <c r="AH13" s="6">
        <f t="shared" si="26"/>
        <v>0</v>
      </c>
      <c r="AJ13" s="6">
        <f t="shared" si="27"/>
        <v>275</v>
      </c>
      <c r="AL13" s="6">
        <f t="shared" si="28"/>
        <v>6705072</v>
      </c>
      <c r="AM13" s="6" t="e">
        <f t="shared" si="8"/>
        <v>#NUM!</v>
      </c>
      <c r="AN13" s="6" t="e">
        <f t="shared" si="29"/>
        <v>#NUM!</v>
      </c>
      <c r="AP13" s="6">
        <f t="shared" si="30"/>
        <v>0</v>
      </c>
      <c r="AQ13" s="6" t="e">
        <f t="shared" si="9"/>
        <v>#NUM!</v>
      </c>
      <c r="AR13" s="6" t="e">
        <f t="shared" si="31"/>
        <v>#NUM!</v>
      </c>
      <c r="AT13" s="6">
        <f t="shared" si="32"/>
        <v>0</v>
      </c>
      <c r="AU13" s="6" t="e">
        <f t="shared" si="10"/>
        <v>#NUM!</v>
      </c>
      <c r="AV13" s="6" t="e">
        <f t="shared" si="33"/>
        <v>#NUM!</v>
      </c>
      <c r="AX13" s="6">
        <f t="shared" si="34"/>
        <v>0</v>
      </c>
      <c r="AY13" s="6" t="e">
        <f t="shared" si="11"/>
        <v>#NUM!</v>
      </c>
      <c r="AZ13" s="6" t="e">
        <f t="shared" si="35"/>
        <v>#NUM!</v>
      </c>
      <c r="BB13" s="6">
        <f t="shared" si="36"/>
        <v>6705072</v>
      </c>
      <c r="BC13" s="6">
        <f>S13</f>
        <v>0</v>
      </c>
      <c r="BD13" s="6">
        <f t="shared" si="38"/>
        <v>0</v>
      </c>
      <c r="BE13" s="6">
        <f t="shared" si="39"/>
        <v>0</v>
      </c>
      <c r="BG13" s="6">
        <f t="shared" si="47"/>
        <v>0</v>
      </c>
      <c r="BH13" s="6">
        <f t="shared" si="13"/>
        <v>0</v>
      </c>
      <c r="BI13" s="6">
        <f t="shared" ca="1" si="46"/>
        <v>0</v>
      </c>
      <c r="BJ13" s="6">
        <f>+SUM(E13:E$40)</f>
        <v>73359096</v>
      </c>
      <c r="BK13" s="6">
        <f>+SUM(J13:J$40)+F13</f>
        <v>24334512.9473572</v>
      </c>
      <c r="BL13" s="6">
        <f>+SUM(R13:R$40)+N13</f>
        <v>5029619.073919625</v>
      </c>
      <c r="BM13" s="6">
        <f>+SUM(Z13:Z$40)+V13</f>
        <v>0</v>
      </c>
      <c r="BN13" s="7">
        <f t="shared" si="15"/>
        <v>0.33171773200909127</v>
      </c>
      <c r="BO13" s="7">
        <f t="shared" si="16"/>
        <v>0.40027936033013306</v>
      </c>
      <c r="BP13" s="7">
        <f t="shared" si="17"/>
        <v>0.40027936033013306</v>
      </c>
      <c r="BQ13" s="7">
        <f t="shared" si="40"/>
        <v>0.66828226799090873</v>
      </c>
      <c r="BR13" s="7">
        <f t="shared" si="40"/>
        <v>0.59972063966986688</v>
      </c>
      <c r="BS13" s="7">
        <f t="shared" si="40"/>
        <v>0.59972063966986688</v>
      </c>
      <c r="BT13" s="31">
        <f t="shared" si="41"/>
        <v>3.01</v>
      </c>
      <c r="BU13" s="31">
        <f t="shared" si="41"/>
        <v>2.5</v>
      </c>
      <c r="BV13" s="31">
        <f t="shared" si="18"/>
        <v>2.5</v>
      </c>
      <c r="BW13" s="5">
        <f t="shared" si="42"/>
        <v>44336</v>
      </c>
    </row>
    <row r="14" spans="2:78" x14ac:dyDescent="0.25">
      <c r="B14" s="13">
        <f>Carga!J14</f>
        <v>44368</v>
      </c>
      <c r="C14" s="16">
        <f>Carga!$L14</f>
        <v>0.2969</v>
      </c>
      <c r="E14" s="15">
        <f>Carga!K14</f>
        <v>5374556</v>
      </c>
      <c r="F14" s="15">
        <f t="shared" si="19"/>
        <v>16681307.252492078</v>
      </c>
      <c r="G14" s="16">
        <f>+MAX(Carga!$D$8,MIN(Carga!$F$8,Carga!$E$8+$C14))</f>
        <v>0.30690000000000001</v>
      </c>
      <c r="H14" s="15">
        <f t="shared" si="43"/>
        <v>426624.43298248487</v>
      </c>
      <c r="I14" s="15">
        <f t="shared" si="0"/>
        <v>4947931.5670175143</v>
      </c>
      <c r="J14" s="15">
        <f>MIN(SUM(H$4:H14)-SUM(J$4:J13),E14)</f>
        <v>426624.43298248574</v>
      </c>
      <c r="K14" s="15">
        <f>SUM(I14:J14)</f>
        <v>5374556</v>
      </c>
      <c r="M14" s="15">
        <f t="shared" si="1"/>
        <v>0</v>
      </c>
      <c r="N14" s="15">
        <f t="shared" si="21"/>
        <v>3677569</v>
      </c>
      <c r="O14" s="16">
        <f>+MAX(Carga!$D$9,MIN(Carga!$F$9,Carga!$E$9+$C14))</f>
        <v>0.32689999999999997</v>
      </c>
      <c r="P14" s="15">
        <f t="shared" si="44"/>
        <v>100183.10884166666</v>
      </c>
      <c r="Q14" s="15">
        <f t="shared" si="2"/>
        <v>0</v>
      </c>
      <c r="R14" s="15">
        <f>MIN(SUM(P$4:P14)-SUM(R$4:R13),M14)</f>
        <v>0</v>
      </c>
      <c r="S14" s="15">
        <f t="shared" si="22"/>
        <v>0</v>
      </c>
      <c r="U14" s="15">
        <f t="shared" si="3"/>
        <v>0</v>
      </c>
      <c r="V14" s="15">
        <f t="shared" si="23"/>
        <v>0</v>
      </c>
      <c r="W14" s="16">
        <f>+MAX(Carga!$D$10,MIN(Carga!$F$10,Carga!$E$10+$C14))</f>
        <v>0.2969</v>
      </c>
      <c r="X14" s="15">
        <f t="shared" si="45"/>
        <v>0</v>
      </c>
      <c r="Y14" s="15">
        <f t="shared" si="4"/>
        <v>0</v>
      </c>
      <c r="Z14" s="15">
        <f>MIN(SUM(X$4:X14)-SUM(Z$4:Z13),U14)</f>
        <v>0</v>
      </c>
      <c r="AA14" s="15">
        <f t="shared" si="24"/>
        <v>0</v>
      </c>
      <c r="AC14" s="15">
        <f t="shared" si="5"/>
        <v>0</v>
      </c>
      <c r="AD14" s="15">
        <f t="shared" si="25"/>
        <v>100</v>
      </c>
      <c r="AE14" s="14" t="b">
        <f>IF(MAX(AC15:AC$40)&gt;0,FALSE,TRUE)</f>
        <v>0</v>
      </c>
      <c r="AF14" s="15">
        <f t="shared" si="6"/>
        <v>0</v>
      </c>
      <c r="AG14" s="15">
        <f t="shared" si="7"/>
        <v>0</v>
      </c>
      <c r="AH14" s="15">
        <f t="shared" si="26"/>
        <v>0</v>
      </c>
      <c r="AJ14" s="14">
        <f>B14-B$4</f>
        <v>307</v>
      </c>
      <c r="AL14" s="15">
        <f t="shared" si="28"/>
        <v>5374556</v>
      </c>
      <c r="AM14" s="15" t="e">
        <f t="shared" si="8"/>
        <v>#NUM!</v>
      </c>
      <c r="AN14" s="14" t="e">
        <f t="shared" si="29"/>
        <v>#NUM!</v>
      </c>
      <c r="AP14" s="15">
        <f t="shared" si="30"/>
        <v>0</v>
      </c>
      <c r="AQ14" s="15" t="e">
        <f t="shared" si="9"/>
        <v>#NUM!</v>
      </c>
      <c r="AR14" s="15" t="e">
        <f t="shared" si="31"/>
        <v>#NUM!</v>
      </c>
      <c r="AT14" s="15">
        <f t="shared" si="32"/>
        <v>0</v>
      </c>
      <c r="AU14" s="15" t="e">
        <f t="shared" si="10"/>
        <v>#NUM!</v>
      </c>
      <c r="AV14" s="15" t="e">
        <f t="shared" si="33"/>
        <v>#NUM!</v>
      </c>
      <c r="AX14" s="15">
        <f t="shared" si="34"/>
        <v>0</v>
      </c>
      <c r="AY14" s="15" t="e">
        <f t="shared" si="11"/>
        <v>#NUM!</v>
      </c>
      <c r="AZ14" s="15" t="e">
        <f t="shared" si="35"/>
        <v>#NUM!</v>
      </c>
      <c r="BB14" s="15">
        <f t="shared" si="36"/>
        <v>5374556</v>
      </c>
      <c r="BC14" s="15">
        <f t="shared" si="37"/>
        <v>0</v>
      </c>
      <c r="BD14" s="15">
        <f t="shared" si="38"/>
        <v>0</v>
      </c>
      <c r="BE14" s="15">
        <f t="shared" si="39"/>
        <v>0</v>
      </c>
      <c r="BG14" s="15">
        <f t="shared" si="47"/>
        <v>0</v>
      </c>
      <c r="BH14" s="15">
        <f t="shared" si="13"/>
        <v>0</v>
      </c>
      <c r="BI14" s="15">
        <f t="shared" ca="1" si="46"/>
        <v>0</v>
      </c>
      <c r="BJ14" s="15">
        <f>+SUM(E14:E$40)</f>
        <v>66654024</v>
      </c>
      <c r="BK14" s="15">
        <f>+SUM(J14:J$40)+F14</f>
        <v>17629440.9473572</v>
      </c>
      <c r="BL14" s="15">
        <f>+SUM(R14:R$40)+N14</f>
        <v>5029619.073919625</v>
      </c>
      <c r="BM14" s="15">
        <f>+SUM(Z14:Z$40)+V14</f>
        <v>0</v>
      </c>
      <c r="BN14" s="16">
        <f t="shared" si="15"/>
        <v>0.26449177243008165</v>
      </c>
      <c r="BO14" s="16">
        <f t="shared" si="16"/>
        <v>0.33995036850703603</v>
      </c>
      <c r="BP14" s="16">
        <f t="shared" si="17"/>
        <v>0.33995036850703603</v>
      </c>
      <c r="BQ14" s="16">
        <f t="shared" si="40"/>
        <v>0.73550822756991829</v>
      </c>
      <c r="BR14" s="16">
        <f t="shared" si="40"/>
        <v>0.66004963149296403</v>
      </c>
      <c r="BS14" s="16">
        <f t="shared" si="40"/>
        <v>0.66004963149296403</v>
      </c>
      <c r="BT14" s="32">
        <f t="shared" si="41"/>
        <v>3.78</v>
      </c>
      <c r="BU14" s="32">
        <f t="shared" si="41"/>
        <v>2.94</v>
      </c>
      <c r="BV14" s="32">
        <f t="shared" si="18"/>
        <v>2.94</v>
      </c>
      <c r="BW14" s="13">
        <f t="shared" si="42"/>
        <v>44368</v>
      </c>
    </row>
    <row r="15" spans="2:78" x14ac:dyDescent="0.25">
      <c r="B15" s="5">
        <f>Carga!J15</f>
        <v>44397</v>
      </c>
      <c r="C15" s="7">
        <f>Carga!$L15</f>
        <v>0.2969</v>
      </c>
      <c r="E15" s="6">
        <f>Carga!K15</f>
        <v>5197767</v>
      </c>
      <c r="F15" s="6">
        <f t="shared" si="19"/>
        <v>11733375.685474563</v>
      </c>
      <c r="G15" s="7">
        <f>+MAX(Carga!$D$8,MIN(Carga!$F$8,Carga!$E$8+$C15))</f>
        <v>0.30690000000000001</v>
      </c>
      <c r="H15" s="6">
        <f t="shared" si="43"/>
        <v>300081.08315601194</v>
      </c>
      <c r="I15" s="6">
        <f t="shared" si="0"/>
        <v>4897685.916843988</v>
      </c>
      <c r="J15" s="6">
        <f>MIN(SUM(H$4:H15)-SUM(J$4:J14),E15)</f>
        <v>300081.083156012</v>
      </c>
      <c r="K15" s="6">
        <f t="shared" si="20"/>
        <v>5197767</v>
      </c>
      <c r="M15" s="6">
        <f t="shared" si="1"/>
        <v>0</v>
      </c>
      <c r="N15" s="6">
        <f t="shared" si="21"/>
        <v>3677569</v>
      </c>
      <c r="O15" s="7">
        <f>+MAX(Carga!$D$9,MIN(Carga!$F$9,Carga!$E$9+$C15))</f>
        <v>0.32689999999999997</v>
      </c>
      <c r="P15" s="6">
        <f t="shared" si="44"/>
        <v>100183.10884166666</v>
      </c>
      <c r="Q15" s="6">
        <f t="shared" si="2"/>
        <v>0</v>
      </c>
      <c r="R15" s="6">
        <f>MIN(SUM(P$4:P15)-SUM(R$4:R14),M15)</f>
        <v>0</v>
      </c>
      <c r="S15" s="6">
        <f t="shared" si="22"/>
        <v>0</v>
      </c>
      <c r="U15" s="6">
        <f t="shared" si="3"/>
        <v>0</v>
      </c>
      <c r="V15" s="6">
        <f t="shared" si="23"/>
        <v>0</v>
      </c>
      <c r="W15" s="7">
        <f>+MAX(Carga!$D$10,MIN(Carga!$F$10,Carga!$E$10+$C15))</f>
        <v>0.2969</v>
      </c>
      <c r="X15" s="6">
        <f t="shared" si="45"/>
        <v>0</v>
      </c>
      <c r="Y15" s="6">
        <f t="shared" si="4"/>
        <v>0</v>
      </c>
      <c r="Z15" s="6">
        <f>MIN(SUM(X$4:X15)-SUM(Z$4:Z14),U15)</f>
        <v>0</v>
      </c>
      <c r="AA15" s="6">
        <f t="shared" si="24"/>
        <v>0</v>
      </c>
      <c r="AC15" s="6">
        <f t="shared" si="5"/>
        <v>0</v>
      </c>
      <c r="AD15" s="6">
        <f t="shared" si="25"/>
        <v>100</v>
      </c>
      <c r="AE15" s="7" t="b">
        <f>IF(MAX(AC16:AC$40)&gt;0,FALSE,TRUE)</f>
        <v>0</v>
      </c>
      <c r="AF15" s="6">
        <f t="shared" si="6"/>
        <v>0</v>
      </c>
      <c r="AG15" s="6">
        <f t="shared" si="7"/>
        <v>0</v>
      </c>
      <c r="AH15" s="6">
        <f t="shared" si="26"/>
        <v>0</v>
      </c>
      <c r="AJ15" s="6">
        <f t="shared" si="27"/>
        <v>336</v>
      </c>
      <c r="AL15" s="6">
        <f t="shared" si="28"/>
        <v>5197767</v>
      </c>
      <c r="AM15" s="6" t="e">
        <f t="shared" si="8"/>
        <v>#NUM!</v>
      </c>
      <c r="AN15" s="6" t="e">
        <f t="shared" si="29"/>
        <v>#NUM!</v>
      </c>
      <c r="AP15" s="6">
        <f t="shared" si="30"/>
        <v>0</v>
      </c>
      <c r="AQ15" s="6" t="e">
        <f t="shared" si="9"/>
        <v>#NUM!</v>
      </c>
      <c r="AR15" s="6" t="e">
        <f t="shared" si="31"/>
        <v>#NUM!</v>
      </c>
      <c r="AT15" s="6">
        <f t="shared" si="32"/>
        <v>0</v>
      </c>
      <c r="AU15" s="6" t="e">
        <f t="shared" si="10"/>
        <v>#NUM!</v>
      </c>
      <c r="AV15" s="6" t="e">
        <f t="shared" si="33"/>
        <v>#NUM!</v>
      </c>
      <c r="AX15" s="6">
        <f t="shared" si="34"/>
        <v>0</v>
      </c>
      <c r="AY15" s="6" t="e">
        <f t="shared" si="11"/>
        <v>#NUM!</v>
      </c>
      <c r="AZ15" s="6" t="e">
        <f t="shared" si="35"/>
        <v>#NUM!</v>
      </c>
      <c r="BB15" s="6">
        <f t="shared" si="36"/>
        <v>5197767</v>
      </c>
      <c r="BC15" s="6">
        <f t="shared" si="37"/>
        <v>0</v>
      </c>
      <c r="BD15" s="6">
        <f t="shared" si="38"/>
        <v>0</v>
      </c>
      <c r="BE15" s="6">
        <f t="shared" si="39"/>
        <v>0</v>
      </c>
      <c r="BG15" s="6">
        <f t="shared" si="47"/>
        <v>0</v>
      </c>
      <c r="BH15" s="6">
        <f t="shared" si="13"/>
        <v>0</v>
      </c>
      <c r="BI15" s="6">
        <f t="shared" ca="1" si="46"/>
        <v>0</v>
      </c>
      <c r="BJ15" s="6">
        <f>+SUM(E15:E$40)</f>
        <v>61279468</v>
      </c>
      <c r="BK15" s="6">
        <f>+SUM(J15:J$40)+F15</f>
        <v>12254884.947357202</v>
      </c>
      <c r="BL15" s="6">
        <f>+SUM(R15:R$40)+N15</f>
        <v>5029619.073919625</v>
      </c>
      <c r="BM15" s="6">
        <f>+SUM(Z15:Z$40)+V15</f>
        <v>0</v>
      </c>
      <c r="BN15" s="7">
        <f t="shared" si="15"/>
        <v>0.19998354012076611</v>
      </c>
      <c r="BO15" s="7">
        <f t="shared" si="16"/>
        <v>0.28206028194103822</v>
      </c>
      <c r="BP15" s="7">
        <f t="shared" si="17"/>
        <v>0.28206028194103822</v>
      </c>
      <c r="BQ15" s="7">
        <f t="shared" si="40"/>
        <v>0.80001645987923387</v>
      </c>
      <c r="BR15" s="7">
        <f t="shared" si="40"/>
        <v>0.71793971805896173</v>
      </c>
      <c r="BS15" s="7">
        <f t="shared" si="40"/>
        <v>0.71793971805896173</v>
      </c>
      <c r="BT15" s="31">
        <f t="shared" si="41"/>
        <v>5</v>
      </c>
      <c r="BU15" s="31">
        <f t="shared" si="41"/>
        <v>3.55</v>
      </c>
      <c r="BV15" s="31">
        <f t="shared" si="18"/>
        <v>3.55</v>
      </c>
      <c r="BW15" s="5">
        <f t="shared" si="42"/>
        <v>44397</v>
      </c>
    </row>
    <row r="16" spans="2:78" x14ac:dyDescent="0.25">
      <c r="B16" s="13">
        <f>Carga!J16</f>
        <v>44428</v>
      </c>
      <c r="C16" s="16">
        <f>Carga!$L16</f>
        <v>0.2969</v>
      </c>
      <c r="E16" s="15">
        <f>Carga!K16</f>
        <v>5188209</v>
      </c>
      <c r="F16" s="15">
        <f t="shared" si="19"/>
        <v>6835689.7686305754</v>
      </c>
      <c r="G16" s="16">
        <f>+MAX(Carga!$D$8,MIN(Carga!$F$8,Carga!$E$8+$C16))</f>
        <v>0.30690000000000001</v>
      </c>
      <c r="H16" s="15">
        <f t="shared" si="43"/>
        <v>174822.76583272696</v>
      </c>
      <c r="I16" s="15">
        <f t="shared" si="0"/>
        <v>5013386.2341672722</v>
      </c>
      <c r="J16" s="15">
        <f>MIN(SUM(H$4:H16)-SUM(J$4:J15),E16)</f>
        <v>174822.76583272777</v>
      </c>
      <c r="K16" s="15">
        <f t="shared" si="20"/>
        <v>5188209</v>
      </c>
      <c r="M16" s="15">
        <f t="shared" si="1"/>
        <v>0</v>
      </c>
      <c r="N16" s="15">
        <f t="shared" si="21"/>
        <v>3677569</v>
      </c>
      <c r="O16" s="16">
        <f>+MAX(Carga!$D$9,MIN(Carga!$F$9,Carga!$E$9+$C16))</f>
        <v>0.32689999999999997</v>
      </c>
      <c r="P16" s="15">
        <f t="shared" si="44"/>
        <v>100183.10884166666</v>
      </c>
      <c r="Q16" s="15">
        <f t="shared" si="2"/>
        <v>0</v>
      </c>
      <c r="R16" s="15">
        <f>MIN(SUM(P$4:P16)-SUM(R$4:R15),M16)</f>
        <v>0</v>
      </c>
      <c r="S16" s="15">
        <f t="shared" si="22"/>
        <v>0</v>
      </c>
      <c r="U16" s="15">
        <f t="shared" si="3"/>
        <v>0</v>
      </c>
      <c r="V16" s="15">
        <f t="shared" si="23"/>
        <v>0</v>
      </c>
      <c r="W16" s="16">
        <f>+MAX(Carga!$D$10,MIN(Carga!$F$10,Carga!$E$10+$C16))</f>
        <v>0.2969</v>
      </c>
      <c r="X16" s="15">
        <f t="shared" si="45"/>
        <v>0</v>
      </c>
      <c r="Y16" s="15">
        <f t="shared" si="4"/>
        <v>0</v>
      </c>
      <c r="Z16" s="15">
        <f>MIN(SUM(X$4:X16)-SUM(Z$4:Z15),U16)</f>
        <v>0</v>
      </c>
      <c r="AA16" s="15">
        <f t="shared" si="24"/>
        <v>0</v>
      </c>
      <c r="AC16" s="15">
        <f t="shared" si="5"/>
        <v>0</v>
      </c>
      <c r="AD16" s="15">
        <f t="shared" si="25"/>
        <v>100</v>
      </c>
      <c r="AE16" s="14" t="b">
        <f>IF(MAX(AC17:AC$40)&gt;0,FALSE,TRUE)</f>
        <v>0</v>
      </c>
      <c r="AF16" s="15">
        <f t="shared" si="6"/>
        <v>0</v>
      </c>
      <c r="AG16" s="15">
        <f t="shared" si="7"/>
        <v>0</v>
      </c>
      <c r="AH16" s="15">
        <f t="shared" si="26"/>
        <v>0</v>
      </c>
      <c r="AJ16" s="14">
        <f t="shared" si="27"/>
        <v>367</v>
      </c>
      <c r="AL16" s="15">
        <f t="shared" si="28"/>
        <v>5188209</v>
      </c>
      <c r="AM16" s="15" t="e">
        <f t="shared" si="8"/>
        <v>#NUM!</v>
      </c>
      <c r="AN16" s="14" t="e">
        <f t="shared" si="29"/>
        <v>#NUM!</v>
      </c>
      <c r="AP16" s="15">
        <f t="shared" si="30"/>
        <v>0</v>
      </c>
      <c r="AQ16" s="15" t="e">
        <f t="shared" si="9"/>
        <v>#NUM!</v>
      </c>
      <c r="AR16" s="15" t="e">
        <f t="shared" si="31"/>
        <v>#NUM!</v>
      </c>
      <c r="AT16" s="15">
        <f t="shared" si="32"/>
        <v>0</v>
      </c>
      <c r="AU16" s="15" t="e">
        <f t="shared" si="10"/>
        <v>#NUM!</v>
      </c>
      <c r="AV16" s="15" t="e">
        <f t="shared" si="33"/>
        <v>#NUM!</v>
      </c>
      <c r="AX16" s="15">
        <f t="shared" si="34"/>
        <v>0</v>
      </c>
      <c r="AY16" s="15" t="e">
        <f t="shared" si="11"/>
        <v>#NUM!</v>
      </c>
      <c r="AZ16" s="15" t="e">
        <f t="shared" si="35"/>
        <v>#NUM!</v>
      </c>
      <c r="BB16" s="15">
        <f t="shared" si="36"/>
        <v>5188209</v>
      </c>
      <c r="BC16" s="15">
        <f t="shared" si="37"/>
        <v>0</v>
      </c>
      <c r="BD16" s="15">
        <f t="shared" si="38"/>
        <v>0</v>
      </c>
      <c r="BE16" s="15">
        <f t="shared" si="39"/>
        <v>0</v>
      </c>
      <c r="BG16" s="15">
        <f t="shared" si="47"/>
        <v>0</v>
      </c>
      <c r="BH16" s="15">
        <f t="shared" si="13"/>
        <v>0</v>
      </c>
      <c r="BI16" s="15">
        <f t="shared" ca="1" si="46"/>
        <v>0</v>
      </c>
      <c r="BJ16" s="15">
        <f>+SUM(E16:E$40)</f>
        <v>56081701</v>
      </c>
      <c r="BK16" s="15">
        <f>+SUM(J16:J$40)+F16</f>
        <v>7057117.9473572019</v>
      </c>
      <c r="BL16" s="15">
        <f>+SUM(R16:R$40)+N16</f>
        <v>5029619.073919625</v>
      </c>
      <c r="BM16" s="15">
        <f>+SUM(Z16:Z$40)+V16</f>
        <v>0</v>
      </c>
      <c r="BN16" s="16">
        <f t="shared" si="15"/>
        <v>0.12583637481604207</v>
      </c>
      <c r="BO16" s="16">
        <f t="shared" si="16"/>
        <v>0.2155201573018769</v>
      </c>
      <c r="BP16" s="16">
        <f t="shared" si="17"/>
        <v>0.2155201573018769</v>
      </c>
      <c r="BQ16" s="16">
        <f t="shared" si="40"/>
        <v>0.87416362518395796</v>
      </c>
      <c r="BR16" s="16">
        <f t="shared" si="40"/>
        <v>0.7844798426981231</v>
      </c>
      <c r="BS16" s="16">
        <f t="shared" si="40"/>
        <v>0.7844798426981231</v>
      </c>
      <c r="BT16" s="32">
        <f t="shared" si="41"/>
        <v>7.95</v>
      </c>
      <c r="BU16" s="32">
        <f t="shared" si="41"/>
        <v>4.6399999999999997</v>
      </c>
      <c r="BV16" s="32">
        <f t="shared" si="18"/>
        <v>4.6399999999999997</v>
      </c>
      <c r="BW16" s="13">
        <f t="shared" si="42"/>
        <v>44428</v>
      </c>
    </row>
    <row r="17" spans="2:75" x14ac:dyDescent="0.25">
      <c r="B17" s="5">
        <f>Carga!J17</f>
        <v>44459</v>
      </c>
      <c r="C17" s="7">
        <f>Carga!$L17</f>
        <v>0.2969</v>
      </c>
      <c r="E17" s="6">
        <f>Carga!K17</f>
        <v>5025561</v>
      </c>
      <c r="F17" s="6">
        <f t="shared" si="19"/>
        <v>1822303.5344633032</v>
      </c>
      <c r="G17" s="7">
        <f>+MAX(Carga!$D$8,MIN(Carga!$F$8,Carga!$E$8+$C17))</f>
        <v>0.30690000000000001</v>
      </c>
      <c r="H17" s="6">
        <f t="shared" si="43"/>
        <v>46605.412893898982</v>
      </c>
      <c r="I17" s="6">
        <f t="shared" si="0"/>
        <v>1822303.5344633032</v>
      </c>
      <c r="J17" s="6">
        <f>MIN(SUM(H$4:H17)-SUM(J$4:J16),E17)</f>
        <v>46605.412893898785</v>
      </c>
      <c r="K17" s="6">
        <f t="shared" si="20"/>
        <v>1868908.9473572019</v>
      </c>
      <c r="M17" s="6">
        <f t="shared" si="1"/>
        <v>3156652.0526427981</v>
      </c>
      <c r="N17" s="6">
        <f t="shared" si="21"/>
        <v>3677569</v>
      </c>
      <c r="O17" s="7">
        <f>+MAX(Carga!$D$9,MIN(Carga!$F$9,Carga!$E$9+$C17))</f>
        <v>0.32689999999999997</v>
      </c>
      <c r="P17" s="6">
        <f t="shared" si="44"/>
        <v>100183.10884166666</v>
      </c>
      <c r="Q17" s="6">
        <f t="shared" si="2"/>
        <v>1854271.6377011312</v>
      </c>
      <c r="R17" s="6">
        <f>MIN(SUM(P$4:P17)-SUM(R$4:R16),M17)</f>
        <v>1302380.4149416669</v>
      </c>
      <c r="S17" s="6">
        <f t="shared" si="22"/>
        <v>3156652.0526427981</v>
      </c>
      <c r="U17" s="6">
        <f t="shared" si="3"/>
        <v>0</v>
      </c>
      <c r="V17" s="6">
        <f t="shared" si="23"/>
        <v>0</v>
      </c>
      <c r="W17" s="7">
        <f>+MAX(Carga!$D$10,MIN(Carga!$F$10,Carga!$E$10+$C17))</f>
        <v>0.2969</v>
      </c>
      <c r="X17" s="6">
        <f t="shared" si="45"/>
        <v>0</v>
      </c>
      <c r="Y17" s="6">
        <f t="shared" si="4"/>
        <v>0</v>
      </c>
      <c r="Z17" s="6">
        <f>MIN(SUM(X$4:X17)-SUM(Z$4:Z16),U17)</f>
        <v>0</v>
      </c>
      <c r="AA17" s="6">
        <f t="shared" si="24"/>
        <v>0</v>
      </c>
      <c r="AC17" s="6">
        <f t="shared" si="5"/>
        <v>0</v>
      </c>
      <c r="AD17" s="6">
        <f t="shared" si="25"/>
        <v>100</v>
      </c>
      <c r="AE17" s="7" t="b">
        <f>IF(MAX(AC18:AC$40)&gt;0,FALSE,TRUE)</f>
        <v>0</v>
      </c>
      <c r="AF17" s="6">
        <f t="shared" si="6"/>
        <v>0</v>
      </c>
      <c r="AG17" s="6">
        <f t="shared" si="7"/>
        <v>0</v>
      </c>
      <c r="AH17" s="6">
        <f t="shared" si="26"/>
        <v>0</v>
      </c>
      <c r="AJ17" s="6">
        <f t="shared" si="27"/>
        <v>398</v>
      </c>
      <c r="AL17" s="6">
        <f t="shared" si="28"/>
        <v>1868908.9473572019</v>
      </c>
      <c r="AM17" s="6" t="e">
        <f t="shared" si="8"/>
        <v>#NUM!</v>
      </c>
      <c r="AN17" s="6" t="e">
        <f t="shared" si="29"/>
        <v>#NUM!</v>
      </c>
      <c r="AP17" s="6">
        <f t="shared" si="30"/>
        <v>3156652.0526427981</v>
      </c>
      <c r="AQ17" s="6" t="e">
        <f t="shared" si="9"/>
        <v>#NUM!</v>
      </c>
      <c r="AR17" s="6" t="e">
        <f t="shared" si="31"/>
        <v>#NUM!</v>
      </c>
      <c r="AT17" s="6">
        <f t="shared" si="32"/>
        <v>0</v>
      </c>
      <c r="AU17" s="6" t="e">
        <f t="shared" si="10"/>
        <v>#NUM!</v>
      </c>
      <c r="AV17" s="6" t="e">
        <f t="shared" si="33"/>
        <v>#NUM!</v>
      </c>
      <c r="AX17" s="6">
        <f t="shared" si="34"/>
        <v>0</v>
      </c>
      <c r="AY17" s="6" t="e">
        <f t="shared" si="11"/>
        <v>#NUM!</v>
      </c>
      <c r="AZ17" s="6" t="e">
        <f t="shared" si="35"/>
        <v>#NUM!</v>
      </c>
      <c r="BB17" s="6">
        <f t="shared" si="36"/>
        <v>1868908.9473572019</v>
      </c>
      <c r="BC17" s="6">
        <f t="shared" si="37"/>
        <v>3156652.0526427981</v>
      </c>
      <c r="BD17" s="6">
        <f t="shared" si="38"/>
        <v>0</v>
      </c>
      <c r="BE17" s="6">
        <f t="shared" si="39"/>
        <v>0</v>
      </c>
      <c r="BG17" s="6">
        <f t="shared" si="47"/>
        <v>0</v>
      </c>
      <c r="BH17" s="6">
        <f t="shared" si="13"/>
        <v>0</v>
      </c>
      <c r="BI17" s="6">
        <f t="shared" ca="1" si="46"/>
        <v>0</v>
      </c>
      <c r="BJ17" s="6">
        <f>+SUM(E17:E$40)</f>
        <v>50893492</v>
      </c>
      <c r="BK17" s="6">
        <f>+SUM(J17:J$40)+F17</f>
        <v>1868908.9473572019</v>
      </c>
      <c r="BL17" s="6">
        <f>+SUM(R17:R$40)+N17</f>
        <v>5029619.073919625</v>
      </c>
      <c r="BM17" s="6">
        <f>+SUM(Z17:Z$40)+V17</f>
        <v>0</v>
      </c>
      <c r="BN17" s="7">
        <f t="shared" si="15"/>
        <v>3.6721963337811483E-2</v>
      </c>
      <c r="BO17" s="7">
        <f t="shared" si="16"/>
        <v>0.13554833339549244</v>
      </c>
      <c r="BP17" s="7">
        <f t="shared" si="17"/>
        <v>0.13554833339549244</v>
      </c>
      <c r="BQ17" s="7">
        <f t="shared" si="40"/>
        <v>0.96327803666218847</v>
      </c>
      <c r="BR17" s="7">
        <f t="shared" si="40"/>
        <v>0.86445166660450756</v>
      </c>
      <c r="BS17" s="7">
        <f t="shared" si="40"/>
        <v>0.86445166660450756</v>
      </c>
      <c r="BT17" s="31">
        <f t="shared" si="41"/>
        <v>27.23</v>
      </c>
      <c r="BU17" s="31">
        <f t="shared" si="41"/>
        <v>7.38</v>
      </c>
      <c r="BV17" s="31">
        <f t="shared" si="18"/>
        <v>7.38</v>
      </c>
      <c r="BW17" s="5">
        <f t="shared" si="42"/>
        <v>44459</v>
      </c>
    </row>
    <row r="18" spans="2:75" x14ac:dyDescent="0.25">
      <c r="B18" s="13">
        <f>Carga!J18</f>
        <v>44489</v>
      </c>
      <c r="C18" s="16">
        <f>Carga!$L18</f>
        <v>0.2969</v>
      </c>
      <c r="E18" s="15">
        <f>Carga!K18</f>
        <v>4359559</v>
      </c>
      <c r="F18" s="15">
        <f t="shared" si="19"/>
        <v>0</v>
      </c>
      <c r="G18" s="16">
        <f>+MAX(Carga!$D$8,MIN(Carga!$F$8,Carga!$E$8+$C18))</f>
        <v>0.30690000000000001</v>
      </c>
      <c r="H18" s="15">
        <f t="shared" si="43"/>
        <v>0</v>
      </c>
      <c r="I18" s="15">
        <f t="shared" si="0"/>
        <v>0</v>
      </c>
      <c r="J18" s="15">
        <f>MIN(SUM(H$4:H18)-SUM(J$4:J17),E18)</f>
        <v>0</v>
      </c>
      <c r="K18" s="15">
        <f>SUM(I18:J18)</f>
        <v>0</v>
      </c>
      <c r="M18" s="15">
        <f t="shared" si="1"/>
        <v>4359559</v>
      </c>
      <c r="N18" s="15">
        <f t="shared" si="21"/>
        <v>1823297.3622988688</v>
      </c>
      <c r="O18" s="16">
        <f>+MAX(Carga!$D$9,MIN(Carga!$F$9,Carga!$E$9+$C18))</f>
        <v>0.32689999999999997</v>
      </c>
      <c r="P18" s="15">
        <f t="shared" si="44"/>
        <v>49669.658977958345</v>
      </c>
      <c r="Q18" s="15">
        <f t="shared" si="2"/>
        <v>1823297.3622988688</v>
      </c>
      <c r="R18" s="15">
        <f>MIN(SUM(P$4:P18)-SUM(R$4:R17),M18)</f>
        <v>49669.658977958374</v>
      </c>
      <c r="S18" s="15">
        <f t="shared" si="22"/>
        <v>1872967.0212768272</v>
      </c>
      <c r="U18" s="15">
        <f t="shared" si="3"/>
        <v>2486591.978723173</v>
      </c>
      <c r="V18" s="15">
        <f t="shared" si="23"/>
        <v>0</v>
      </c>
      <c r="W18" s="16">
        <f>+MAX(Carga!$D$10,MIN(Carga!$F$10,Carga!$E$10+$C18))</f>
        <v>0.2969</v>
      </c>
      <c r="X18" s="15">
        <f t="shared" si="45"/>
        <v>0</v>
      </c>
      <c r="Y18" s="15">
        <f t="shared" si="4"/>
        <v>0</v>
      </c>
      <c r="Z18" s="15">
        <f>MIN(SUM(X$4:X18)-SUM(Z$4:Z17),U18)</f>
        <v>0</v>
      </c>
      <c r="AA18" s="15">
        <f t="shared" si="24"/>
        <v>0</v>
      </c>
      <c r="AC18" s="15">
        <f t="shared" si="5"/>
        <v>2486591.978723173</v>
      </c>
      <c r="AD18" s="15">
        <f t="shared" si="25"/>
        <v>100</v>
      </c>
      <c r="AE18" s="14" t="b">
        <f>IF(MAX(AC19:AC$40)&gt;0,FALSE,TRUE)</f>
        <v>0</v>
      </c>
      <c r="AF18" s="15">
        <f t="shared" si="6"/>
        <v>0</v>
      </c>
      <c r="AG18" s="15">
        <f t="shared" si="7"/>
        <v>2486591.978723173</v>
      </c>
      <c r="AH18" s="15">
        <f t="shared" si="26"/>
        <v>2486591.978723173</v>
      </c>
      <c r="AJ18" s="14">
        <f t="shared" si="27"/>
        <v>428</v>
      </c>
      <c r="AL18" s="15">
        <f t="shared" si="28"/>
        <v>0</v>
      </c>
      <c r="AM18" s="15" t="e">
        <f t="shared" si="8"/>
        <v>#NUM!</v>
      </c>
      <c r="AN18" s="14" t="e">
        <f t="shared" si="29"/>
        <v>#NUM!</v>
      </c>
      <c r="AP18" s="15">
        <f t="shared" si="30"/>
        <v>1872967.0212768272</v>
      </c>
      <c r="AQ18" s="15" t="e">
        <f t="shared" si="9"/>
        <v>#NUM!</v>
      </c>
      <c r="AR18" s="15" t="e">
        <f t="shared" si="31"/>
        <v>#NUM!</v>
      </c>
      <c r="AT18" s="15">
        <f t="shared" si="32"/>
        <v>0</v>
      </c>
      <c r="AU18" s="15" t="e">
        <f t="shared" si="10"/>
        <v>#NUM!</v>
      </c>
      <c r="AV18" s="15" t="e">
        <f t="shared" si="33"/>
        <v>#NUM!</v>
      </c>
      <c r="AX18" s="15">
        <f t="shared" si="34"/>
        <v>2486591.978723173</v>
      </c>
      <c r="AY18" s="15" t="e">
        <f t="shared" si="11"/>
        <v>#NUM!</v>
      </c>
      <c r="AZ18" s="15" t="e">
        <f t="shared" si="35"/>
        <v>#NUM!</v>
      </c>
      <c r="BB18" s="15">
        <f t="shared" si="36"/>
        <v>0</v>
      </c>
      <c r="BC18" s="15">
        <f t="shared" si="37"/>
        <v>1872967.0212768272</v>
      </c>
      <c r="BD18" s="15">
        <f t="shared" si="38"/>
        <v>0</v>
      </c>
      <c r="BE18" s="15">
        <f t="shared" si="39"/>
        <v>2486591.978723173</v>
      </c>
      <c r="BG18" s="15">
        <f t="shared" si="47"/>
        <v>0</v>
      </c>
      <c r="BH18" s="15">
        <f t="shared" si="13"/>
        <v>0</v>
      </c>
      <c r="BI18" s="15">
        <f t="shared" ca="1" si="46"/>
        <v>0</v>
      </c>
      <c r="BJ18" s="15">
        <f>+SUM(E18:E$40)</f>
        <v>45867931</v>
      </c>
      <c r="BK18" s="15">
        <f>+SUM(J18:J$40)+F18</f>
        <v>0</v>
      </c>
      <c r="BL18" s="15">
        <f>+SUM(R18:R$40)+N18</f>
        <v>1872967.0212768272</v>
      </c>
      <c r="BM18" s="15">
        <f>+SUM(Z18:Z$40)+V18</f>
        <v>0</v>
      </c>
      <c r="BN18" s="16">
        <f t="shared" si="15"/>
        <v>0</v>
      </c>
      <c r="BO18" s="16">
        <f t="shared" si="16"/>
        <v>4.0833911197712999E-2</v>
      </c>
      <c r="BP18" s="16">
        <f t="shared" si="17"/>
        <v>4.0833911197712999E-2</v>
      </c>
      <c r="BQ18" s="16">
        <f t="shared" si="40"/>
        <v>1</v>
      </c>
      <c r="BR18" s="16">
        <f t="shared" si="40"/>
        <v>0.95916608880228704</v>
      </c>
      <c r="BS18" s="16">
        <f t="shared" si="40"/>
        <v>0.95916608880228704</v>
      </c>
      <c r="BT18" s="32" t="e">
        <f t="shared" si="41"/>
        <v>#DIV/0!</v>
      </c>
      <c r="BU18" s="32">
        <f t="shared" si="41"/>
        <v>24.49</v>
      </c>
      <c r="BV18" s="32">
        <f t="shared" si="18"/>
        <v>24.49</v>
      </c>
      <c r="BW18" s="13">
        <f t="shared" si="42"/>
        <v>44489</v>
      </c>
    </row>
    <row r="19" spans="2:75" x14ac:dyDescent="0.25">
      <c r="B19" s="5">
        <f>Carga!J19</f>
        <v>44520</v>
      </c>
      <c r="C19" s="7">
        <f>Carga!$L19</f>
        <v>0.2969</v>
      </c>
      <c r="E19" s="6">
        <f>Carga!K19</f>
        <v>3642761</v>
      </c>
      <c r="F19" s="6">
        <f t="shared" si="19"/>
        <v>0</v>
      </c>
      <c r="G19" s="7">
        <f>+MAX(Carga!$D$8,MIN(Carga!$F$8,Carga!$E$8+$C19))</f>
        <v>0.30690000000000001</v>
      </c>
      <c r="H19" s="6">
        <f t="shared" si="43"/>
        <v>0</v>
      </c>
      <c r="I19" s="6">
        <f t="shared" si="0"/>
        <v>0</v>
      </c>
      <c r="J19" s="6">
        <f>MIN(SUM(H$4:H19)-SUM(J$4:J18),E19)</f>
        <v>0</v>
      </c>
      <c r="K19" s="6">
        <f t="shared" si="20"/>
        <v>0</v>
      </c>
      <c r="M19" s="6">
        <f t="shared" si="1"/>
        <v>3642761</v>
      </c>
      <c r="N19" s="6">
        <f t="shared" si="21"/>
        <v>0</v>
      </c>
      <c r="O19" s="7">
        <f>+MAX(Carga!$D$9,MIN(Carga!$F$9,Carga!$E$9+$C19))</f>
        <v>0.32689999999999997</v>
      </c>
      <c r="P19" s="6">
        <f t="shared" si="44"/>
        <v>0</v>
      </c>
      <c r="Q19" s="6">
        <f t="shared" si="2"/>
        <v>0</v>
      </c>
      <c r="R19" s="6">
        <f>MIN(SUM(P$4:P19)-SUM(R$4:R18),M19)</f>
        <v>0</v>
      </c>
      <c r="S19" s="6">
        <f t="shared" si="22"/>
        <v>0</v>
      </c>
      <c r="U19" s="6">
        <f t="shared" si="3"/>
        <v>3642761</v>
      </c>
      <c r="V19" s="6">
        <f t="shared" si="23"/>
        <v>0</v>
      </c>
      <c r="W19" s="7">
        <f>+MAX(Carga!$D$10,MIN(Carga!$F$10,Carga!$E$10+$C19))</f>
        <v>0.2969</v>
      </c>
      <c r="X19" s="6">
        <f t="shared" si="45"/>
        <v>0</v>
      </c>
      <c r="Y19" s="6">
        <f t="shared" si="4"/>
        <v>0</v>
      </c>
      <c r="Z19" s="6">
        <f>MIN(SUM(X$4:X19)-SUM(Z$4:Z18),U19)</f>
        <v>0</v>
      </c>
      <c r="AA19" s="6">
        <f t="shared" si="24"/>
        <v>0</v>
      </c>
      <c r="AC19" s="6">
        <f t="shared" si="5"/>
        <v>3642761</v>
      </c>
      <c r="AD19" s="6">
        <f t="shared" si="25"/>
        <v>100</v>
      </c>
      <c r="AE19" s="7" t="b">
        <f>IF(MAX(AC20:AC$40)&gt;0,FALSE,TRUE)</f>
        <v>0</v>
      </c>
      <c r="AF19" s="6">
        <f t="shared" si="6"/>
        <v>0</v>
      </c>
      <c r="AG19" s="6">
        <f t="shared" si="7"/>
        <v>3642761</v>
      </c>
      <c r="AH19" s="6">
        <f t="shared" si="26"/>
        <v>3642761</v>
      </c>
      <c r="AJ19" s="6">
        <f t="shared" si="27"/>
        <v>459</v>
      </c>
      <c r="AL19" s="6">
        <f t="shared" si="28"/>
        <v>0</v>
      </c>
      <c r="AM19" s="6" t="e">
        <f t="shared" si="8"/>
        <v>#NUM!</v>
      </c>
      <c r="AN19" s="6" t="e">
        <f t="shared" si="29"/>
        <v>#NUM!</v>
      </c>
      <c r="AP19" s="6">
        <f t="shared" si="30"/>
        <v>0</v>
      </c>
      <c r="AQ19" s="6" t="e">
        <f t="shared" si="9"/>
        <v>#NUM!</v>
      </c>
      <c r="AR19" s="6" t="e">
        <f t="shared" si="31"/>
        <v>#NUM!</v>
      </c>
      <c r="AT19" s="6">
        <f t="shared" si="32"/>
        <v>0</v>
      </c>
      <c r="AU19" s="6" t="e">
        <f t="shared" si="10"/>
        <v>#NUM!</v>
      </c>
      <c r="AV19" s="6" t="e">
        <f t="shared" si="33"/>
        <v>#NUM!</v>
      </c>
      <c r="AX19" s="6">
        <f t="shared" si="34"/>
        <v>3642761</v>
      </c>
      <c r="AY19" s="6" t="e">
        <f t="shared" si="11"/>
        <v>#NUM!</v>
      </c>
      <c r="AZ19" s="6" t="e">
        <f t="shared" si="35"/>
        <v>#NUM!</v>
      </c>
      <c r="BB19" s="6">
        <f t="shared" si="36"/>
        <v>0</v>
      </c>
      <c r="BC19" s="6">
        <f t="shared" si="37"/>
        <v>0</v>
      </c>
      <c r="BD19" s="6">
        <f t="shared" si="38"/>
        <v>0</v>
      </c>
      <c r="BE19" s="6">
        <f t="shared" si="39"/>
        <v>3642761</v>
      </c>
      <c r="BG19" s="6" t="e">
        <f t="shared" si="47"/>
        <v>#DIV/0!</v>
      </c>
      <c r="BH19" s="6" t="e">
        <f t="shared" si="13"/>
        <v>#DIV/0!</v>
      </c>
      <c r="BI19" s="6">
        <f t="shared" ca="1" si="46"/>
        <v>0</v>
      </c>
      <c r="BJ19" s="6">
        <f>+SUM(E19:E$40)</f>
        <v>41508372</v>
      </c>
      <c r="BK19" s="6">
        <f>+SUM(J19:J$40)+F19</f>
        <v>0</v>
      </c>
      <c r="BL19" s="6">
        <f>+SUM(R19:R$40)+N19</f>
        <v>0</v>
      </c>
      <c r="BM19" s="6">
        <f>+SUM(Z19:Z$40)+V19</f>
        <v>0</v>
      </c>
      <c r="BN19" s="7">
        <f t="shared" si="15"/>
        <v>0</v>
      </c>
      <c r="BO19" s="7">
        <f t="shared" si="16"/>
        <v>0</v>
      </c>
      <c r="BP19" s="7">
        <f t="shared" si="17"/>
        <v>0</v>
      </c>
      <c r="BQ19" s="7">
        <f t="shared" si="40"/>
        <v>1</v>
      </c>
      <c r="BR19" s="7">
        <f t="shared" si="40"/>
        <v>1</v>
      </c>
      <c r="BS19" s="7">
        <f t="shared" si="40"/>
        <v>1</v>
      </c>
      <c r="BT19" s="31" t="e">
        <f t="shared" si="41"/>
        <v>#DIV/0!</v>
      </c>
      <c r="BU19" s="31" t="e">
        <f t="shared" si="41"/>
        <v>#DIV/0!</v>
      </c>
      <c r="BV19" s="31" t="e">
        <f t="shared" si="18"/>
        <v>#DIV/0!</v>
      </c>
      <c r="BW19" s="5">
        <f t="shared" si="42"/>
        <v>44520</v>
      </c>
    </row>
    <row r="20" spans="2:75" x14ac:dyDescent="0.25">
      <c r="B20" s="13">
        <f>Carga!J20</f>
        <v>44550</v>
      </c>
      <c r="C20" s="16">
        <f>Carga!$L20</f>
        <v>0.2969</v>
      </c>
      <c r="E20" s="15">
        <f>Carga!K20</f>
        <v>4349817</v>
      </c>
      <c r="F20" s="15">
        <f t="shared" si="19"/>
        <v>0</v>
      </c>
      <c r="G20" s="16">
        <f>+MAX(Carga!$D$8,MIN(Carga!$F$8,Carga!$E$8+$C20))</f>
        <v>0.30690000000000001</v>
      </c>
      <c r="H20" s="15">
        <f t="shared" si="43"/>
        <v>0</v>
      </c>
      <c r="I20" s="15">
        <f t="shared" si="0"/>
        <v>0</v>
      </c>
      <c r="J20" s="15">
        <f>MIN(SUM(H$4:H20)-SUM(J$4:J19),E20)</f>
        <v>0</v>
      </c>
      <c r="K20" s="15">
        <f t="shared" si="20"/>
        <v>0</v>
      </c>
      <c r="M20" s="15">
        <f t="shared" si="1"/>
        <v>4349817</v>
      </c>
      <c r="N20" s="15">
        <f t="shared" si="21"/>
        <v>0</v>
      </c>
      <c r="O20" s="16">
        <f>+MAX(Carga!$D$9,MIN(Carga!$F$9,Carga!$E$9+$C20))</f>
        <v>0.32689999999999997</v>
      </c>
      <c r="P20" s="15">
        <f t="shared" si="44"/>
        <v>0</v>
      </c>
      <c r="Q20" s="15">
        <f t="shared" si="2"/>
        <v>0</v>
      </c>
      <c r="R20" s="15">
        <f>MIN(SUM(P$4:P20)-SUM(R$4:R19),M20)</f>
        <v>0</v>
      </c>
      <c r="S20" s="15">
        <f t="shared" si="22"/>
        <v>0</v>
      </c>
      <c r="U20" s="15">
        <f t="shared" si="3"/>
        <v>4349817</v>
      </c>
      <c r="V20" s="15">
        <f t="shared" si="23"/>
        <v>0</v>
      </c>
      <c r="W20" s="16">
        <f>+MAX(Carga!$D$10,MIN(Carga!$F$10,Carga!$E$10+$C20))</f>
        <v>0.2969</v>
      </c>
      <c r="X20" s="15">
        <f t="shared" si="45"/>
        <v>0</v>
      </c>
      <c r="Y20" s="15">
        <f t="shared" si="4"/>
        <v>0</v>
      </c>
      <c r="Z20" s="15">
        <f>MIN(SUM(X$4:X20)-SUM(Z$4:Z19),U20)</f>
        <v>0</v>
      </c>
      <c r="AA20" s="15">
        <f t="shared" si="24"/>
        <v>0</v>
      </c>
      <c r="AC20" s="15">
        <f t="shared" si="5"/>
        <v>4349817</v>
      </c>
      <c r="AD20" s="15">
        <f t="shared" si="25"/>
        <v>100</v>
      </c>
      <c r="AE20" s="14" t="b">
        <f>IF(MAX(AC21:AC$40)&gt;0,FALSE,TRUE)</f>
        <v>0</v>
      </c>
      <c r="AF20" s="15">
        <f t="shared" si="6"/>
        <v>0</v>
      </c>
      <c r="AG20" s="15">
        <f t="shared" si="7"/>
        <v>4349817</v>
      </c>
      <c r="AH20" s="15">
        <f t="shared" si="26"/>
        <v>4349817</v>
      </c>
      <c r="AJ20" s="14">
        <f t="shared" si="27"/>
        <v>489</v>
      </c>
      <c r="AL20" s="15">
        <f t="shared" si="28"/>
        <v>0</v>
      </c>
      <c r="AM20" s="15" t="e">
        <f t="shared" si="8"/>
        <v>#NUM!</v>
      </c>
      <c r="AN20" s="14" t="e">
        <f t="shared" si="29"/>
        <v>#NUM!</v>
      </c>
      <c r="AP20" s="15">
        <f t="shared" si="30"/>
        <v>0</v>
      </c>
      <c r="AQ20" s="15" t="e">
        <f t="shared" si="9"/>
        <v>#NUM!</v>
      </c>
      <c r="AR20" s="15" t="e">
        <f t="shared" si="31"/>
        <v>#NUM!</v>
      </c>
      <c r="AT20" s="15">
        <f t="shared" si="32"/>
        <v>0</v>
      </c>
      <c r="AU20" s="15" t="e">
        <f t="shared" si="10"/>
        <v>#NUM!</v>
      </c>
      <c r="AV20" s="15" t="e">
        <f t="shared" si="33"/>
        <v>#NUM!</v>
      </c>
      <c r="AX20" s="15">
        <f t="shared" si="34"/>
        <v>4349817</v>
      </c>
      <c r="AY20" s="15" t="e">
        <f t="shared" si="11"/>
        <v>#NUM!</v>
      </c>
      <c r="AZ20" s="15" t="e">
        <f t="shared" si="35"/>
        <v>#NUM!</v>
      </c>
      <c r="BB20" s="15">
        <f t="shared" si="36"/>
        <v>0</v>
      </c>
      <c r="BC20" s="15">
        <f t="shared" si="37"/>
        <v>0</v>
      </c>
      <c r="BD20" s="15">
        <f t="shared" si="38"/>
        <v>0</v>
      </c>
      <c r="BE20" s="15">
        <f t="shared" si="39"/>
        <v>4349817</v>
      </c>
      <c r="BG20" s="15" t="e">
        <f t="shared" si="47"/>
        <v>#DIV/0!</v>
      </c>
      <c r="BH20" s="15" t="e">
        <f t="shared" si="13"/>
        <v>#DIV/0!</v>
      </c>
      <c r="BI20" s="15">
        <f t="shared" ca="1" si="46"/>
        <v>0</v>
      </c>
      <c r="BJ20" s="15">
        <f>+SUM(E20:E$40)</f>
        <v>37865611</v>
      </c>
      <c r="BK20" s="15">
        <f>+SUM(J20:J$40)+F20</f>
        <v>0</v>
      </c>
      <c r="BL20" s="15">
        <f>+SUM(R20:R$40)+N20</f>
        <v>0</v>
      </c>
      <c r="BM20" s="15">
        <f>+SUM(Z20:Z$40)+V20</f>
        <v>0</v>
      </c>
      <c r="BN20" s="16">
        <f t="shared" si="15"/>
        <v>0</v>
      </c>
      <c r="BO20" s="16">
        <f t="shared" si="16"/>
        <v>0</v>
      </c>
      <c r="BP20" s="16">
        <f t="shared" si="17"/>
        <v>0</v>
      </c>
      <c r="BQ20" s="16">
        <f t="shared" si="40"/>
        <v>1</v>
      </c>
      <c r="BR20" s="16">
        <f t="shared" si="40"/>
        <v>1</v>
      </c>
      <c r="BS20" s="16">
        <f t="shared" si="40"/>
        <v>1</v>
      </c>
      <c r="BT20" s="32" t="e">
        <f t="shared" si="41"/>
        <v>#DIV/0!</v>
      </c>
      <c r="BU20" s="32" t="e">
        <f t="shared" si="41"/>
        <v>#DIV/0!</v>
      </c>
      <c r="BV20" s="32" t="e">
        <f t="shared" si="18"/>
        <v>#DIV/0!</v>
      </c>
      <c r="BW20" s="13">
        <f t="shared" si="42"/>
        <v>44550</v>
      </c>
    </row>
    <row r="21" spans="2:75" x14ac:dyDescent="0.25">
      <c r="B21" s="5">
        <f>Carga!J21</f>
        <v>44581</v>
      </c>
      <c r="C21" s="7">
        <f>Carga!$L21</f>
        <v>0.2969</v>
      </c>
      <c r="E21" s="6">
        <f>Carga!K21</f>
        <v>4278356</v>
      </c>
      <c r="F21" s="6">
        <f t="shared" si="19"/>
        <v>0</v>
      </c>
      <c r="G21" s="7">
        <f>+MAX(Carga!$D$8,MIN(Carga!$F$8,Carga!$E$8+$C21))</f>
        <v>0.30690000000000001</v>
      </c>
      <c r="H21" s="6">
        <f t="shared" si="43"/>
        <v>0</v>
      </c>
      <c r="I21" s="6">
        <f t="shared" si="0"/>
        <v>0</v>
      </c>
      <c r="J21" s="6">
        <f>MIN(SUM(H$4:H21)-SUM(J$4:J20),E21)</f>
        <v>0</v>
      </c>
      <c r="K21" s="6">
        <f t="shared" si="20"/>
        <v>0</v>
      </c>
      <c r="M21" s="6">
        <f t="shared" si="1"/>
        <v>4278356</v>
      </c>
      <c r="N21" s="6">
        <f t="shared" si="21"/>
        <v>0</v>
      </c>
      <c r="O21" s="7">
        <f>+MAX(Carga!$D$9,MIN(Carga!$F$9,Carga!$E$9+$C21))</f>
        <v>0.32689999999999997</v>
      </c>
      <c r="P21" s="6">
        <f t="shared" si="44"/>
        <v>0</v>
      </c>
      <c r="Q21" s="6">
        <f t="shared" si="2"/>
        <v>0</v>
      </c>
      <c r="R21" s="6">
        <f>MIN(SUM(P$4:P21)-SUM(R$4:R20),M21)</f>
        <v>0</v>
      </c>
      <c r="S21" s="6">
        <f t="shared" si="22"/>
        <v>0</v>
      </c>
      <c r="U21" s="6">
        <f t="shared" si="3"/>
        <v>4278356</v>
      </c>
      <c r="V21" s="6">
        <f t="shared" si="23"/>
        <v>0</v>
      </c>
      <c r="W21" s="7">
        <f>+MAX(Carga!$D$10,MIN(Carga!$F$10,Carga!$E$10+$C21))</f>
        <v>0.2969</v>
      </c>
      <c r="X21" s="6">
        <f t="shared" si="45"/>
        <v>0</v>
      </c>
      <c r="Y21" s="6">
        <f t="shared" si="4"/>
        <v>0</v>
      </c>
      <c r="Z21" s="6">
        <f>MIN(SUM(X$4:X21)-SUM(Z$4:Z20),U21)</f>
        <v>0</v>
      </c>
      <c r="AA21" s="6">
        <f t="shared" si="24"/>
        <v>0</v>
      </c>
      <c r="AC21" s="6">
        <f t="shared" si="5"/>
        <v>4278356</v>
      </c>
      <c r="AD21" s="6">
        <f t="shared" si="25"/>
        <v>100</v>
      </c>
      <c r="AE21" s="7" t="b">
        <f>IF(MAX(AC22:AC$40)&gt;0,FALSE,TRUE)</f>
        <v>0</v>
      </c>
      <c r="AF21" s="6">
        <f t="shared" si="6"/>
        <v>0</v>
      </c>
      <c r="AG21" s="6">
        <f t="shared" si="7"/>
        <v>4278356</v>
      </c>
      <c r="AH21" s="6">
        <f t="shared" si="26"/>
        <v>4278356</v>
      </c>
      <c r="AJ21" s="6">
        <f t="shared" si="27"/>
        <v>520</v>
      </c>
      <c r="AL21" s="6">
        <f t="shared" si="28"/>
        <v>0</v>
      </c>
      <c r="AM21" s="6" t="e">
        <f t="shared" si="8"/>
        <v>#NUM!</v>
      </c>
      <c r="AN21" s="6" t="e">
        <f t="shared" si="29"/>
        <v>#NUM!</v>
      </c>
      <c r="AP21" s="6">
        <f t="shared" si="30"/>
        <v>0</v>
      </c>
      <c r="AQ21" s="6" t="e">
        <f t="shared" si="9"/>
        <v>#NUM!</v>
      </c>
      <c r="AR21" s="6" t="e">
        <f t="shared" si="31"/>
        <v>#NUM!</v>
      </c>
      <c r="AT21" s="6">
        <f t="shared" si="32"/>
        <v>0</v>
      </c>
      <c r="AU21" s="6" t="e">
        <f t="shared" si="10"/>
        <v>#NUM!</v>
      </c>
      <c r="AV21" s="6" t="e">
        <f t="shared" si="33"/>
        <v>#NUM!</v>
      </c>
      <c r="AX21" s="6">
        <f t="shared" si="34"/>
        <v>4278356</v>
      </c>
      <c r="AY21" s="6" t="e">
        <f t="shared" si="11"/>
        <v>#NUM!</v>
      </c>
      <c r="AZ21" s="6" t="e">
        <f t="shared" si="35"/>
        <v>#NUM!</v>
      </c>
      <c r="BB21" s="6">
        <f t="shared" si="36"/>
        <v>0</v>
      </c>
      <c r="BC21" s="6">
        <f t="shared" si="37"/>
        <v>0</v>
      </c>
      <c r="BD21" s="6">
        <f t="shared" si="38"/>
        <v>0</v>
      </c>
      <c r="BE21" s="6">
        <f t="shared" si="39"/>
        <v>4278356</v>
      </c>
      <c r="BG21" s="6" t="e">
        <f t="shared" si="47"/>
        <v>#DIV/0!</v>
      </c>
      <c r="BH21" s="6" t="e">
        <f t="shared" si="13"/>
        <v>#DIV/0!</v>
      </c>
      <c r="BI21" s="6">
        <f t="shared" ca="1" si="46"/>
        <v>0</v>
      </c>
      <c r="BJ21" s="6">
        <f>+SUM(E21:E$40)</f>
        <v>33515794</v>
      </c>
      <c r="BK21" s="6">
        <f>+SUM(J21:J$40)+F21</f>
        <v>0</v>
      </c>
      <c r="BL21" s="6">
        <f>+SUM(R21:R$40)+N21</f>
        <v>0</v>
      </c>
      <c r="BM21" s="6">
        <f>+SUM(Z21:Z$40)+V21</f>
        <v>0</v>
      </c>
      <c r="BN21" s="7">
        <f t="shared" si="15"/>
        <v>0</v>
      </c>
      <c r="BO21" s="7">
        <f t="shared" si="16"/>
        <v>0</v>
      </c>
      <c r="BP21" s="7">
        <f t="shared" si="17"/>
        <v>0</v>
      </c>
      <c r="BQ21" s="7">
        <f t="shared" si="40"/>
        <v>1</v>
      </c>
      <c r="BR21" s="7">
        <f t="shared" si="40"/>
        <v>1</v>
      </c>
      <c r="BS21" s="7">
        <f t="shared" si="40"/>
        <v>1</v>
      </c>
      <c r="BT21" s="31" t="e">
        <f t="shared" si="41"/>
        <v>#DIV/0!</v>
      </c>
      <c r="BU21" s="31" t="e">
        <f t="shared" si="41"/>
        <v>#DIV/0!</v>
      </c>
      <c r="BV21" s="31" t="e">
        <f t="shared" si="18"/>
        <v>#DIV/0!</v>
      </c>
      <c r="BW21" s="5">
        <f t="shared" si="42"/>
        <v>44581</v>
      </c>
    </row>
    <row r="22" spans="2:75" x14ac:dyDescent="0.25">
      <c r="B22" s="13">
        <f>Carga!J22</f>
        <v>44612</v>
      </c>
      <c r="C22" s="16">
        <f>Carga!$L22</f>
        <v>0.2969</v>
      </c>
      <c r="E22" s="15">
        <f>Carga!K22</f>
        <v>4139987</v>
      </c>
      <c r="F22" s="15">
        <f t="shared" si="19"/>
        <v>0</v>
      </c>
      <c r="G22" s="16">
        <f>+MAX(Carga!$D$8,MIN(Carga!$F$8,Carga!$E$8+$C22))</f>
        <v>0.30690000000000001</v>
      </c>
      <c r="H22" s="15">
        <f t="shared" si="43"/>
        <v>0</v>
      </c>
      <c r="I22" s="15">
        <f t="shared" si="0"/>
        <v>0</v>
      </c>
      <c r="J22" s="15">
        <f>MIN(SUM(H$4:H22)-SUM(J$4:J21),E22)</f>
        <v>0</v>
      </c>
      <c r="K22" s="15">
        <f t="shared" si="20"/>
        <v>0</v>
      </c>
      <c r="M22" s="15">
        <f t="shared" si="1"/>
        <v>4139987</v>
      </c>
      <c r="N22" s="15">
        <f t="shared" si="21"/>
        <v>0</v>
      </c>
      <c r="O22" s="16">
        <f>+MAX(Carga!$D$9,MIN(Carga!$F$9,Carga!$E$9+$C22))</f>
        <v>0.32689999999999997</v>
      </c>
      <c r="P22" s="15">
        <f t="shared" si="44"/>
        <v>0</v>
      </c>
      <c r="Q22" s="15">
        <f t="shared" si="2"/>
        <v>0</v>
      </c>
      <c r="R22" s="15">
        <f>MIN(SUM(P$4:P22)-SUM(R$4:R21),M22)</f>
        <v>0</v>
      </c>
      <c r="S22" s="15">
        <f t="shared" si="22"/>
        <v>0</v>
      </c>
      <c r="U22" s="15">
        <f>MAX(M22-S22,0)</f>
        <v>4139987</v>
      </c>
      <c r="V22" s="15">
        <f t="shared" si="23"/>
        <v>0</v>
      </c>
      <c r="W22" s="16">
        <f>+MAX(Carga!$D$10,MIN(Carga!$F$10,Carga!$E$10+$C22))</f>
        <v>0.2969</v>
      </c>
      <c r="X22" s="15">
        <f t="shared" si="45"/>
        <v>0</v>
      </c>
      <c r="Y22" s="15">
        <f t="shared" si="4"/>
        <v>0</v>
      </c>
      <c r="Z22" s="15">
        <f>MIN(SUM(X$4:X22)-SUM(Z$4:Z21),U22)</f>
        <v>0</v>
      </c>
      <c r="AA22" s="15">
        <f t="shared" si="24"/>
        <v>0</v>
      </c>
      <c r="AC22" s="15">
        <f t="shared" si="5"/>
        <v>4139987</v>
      </c>
      <c r="AD22" s="15">
        <f t="shared" si="25"/>
        <v>100</v>
      </c>
      <c r="AE22" s="14" t="b">
        <f>IF(MAX(AC23:AC$40)&gt;0,FALSE,TRUE)</f>
        <v>0</v>
      </c>
      <c r="AF22" s="15">
        <f t="shared" si="6"/>
        <v>0</v>
      </c>
      <c r="AG22" s="15">
        <f t="shared" si="7"/>
        <v>4139987</v>
      </c>
      <c r="AH22" s="15">
        <f t="shared" si="26"/>
        <v>4139987</v>
      </c>
      <c r="AJ22" s="14">
        <f t="shared" si="27"/>
        <v>551</v>
      </c>
      <c r="AL22" s="15">
        <f t="shared" si="28"/>
        <v>0</v>
      </c>
      <c r="AM22" s="15" t="e">
        <f t="shared" si="8"/>
        <v>#NUM!</v>
      </c>
      <c r="AN22" s="14" t="e">
        <f t="shared" si="29"/>
        <v>#NUM!</v>
      </c>
      <c r="AP22" s="15">
        <f t="shared" si="30"/>
        <v>0</v>
      </c>
      <c r="AQ22" s="15" t="e">
        <f t="shared" si="9"/>
        <v>#NUM!</v>
      </c>
      <c r="AR22" s="15" t="e">
        <f t="shared" si="31"/>
        <v>#NUM!</v>
      </c>
      <c r="AT22" s="15">
        <f t="shared" si="32"/>
        <v>0</v>
      </c>
      <c r="AU22" s="15" t="e">
        <f t="shared" si="10"/>
        <v>#NUM!</v>
      </c>
      <c r="AV22" s="15" t="e">
        <f t="shared" si="33"/>
        <v>#NUM!</v>
      </c>
      <c r="AX22" s="15">
        <f t="shared" si="34"/>
        <v>4139987</v>
      </c>
      <c r="AY22" s="15" t="e">
        <f t="shared" si="11"/>
        <v>#NUM!</v>
      </c>
      <c r="AZ22" s="15" t="e">
        <f t="shared" si="35"/>
        <v>#NUM!</v>
      </c>
      <c r="BB22" s="15">
        <f t="shared" si="36"/>
        <v>0</v>
      </c>
      <c r="BC22" s="15">
        <f t="shared" si="37"/>
        <v>0</v>
      </c>
      <c r="BD22" s="15">
        <f t="shared" si="38"/>
        <v>0</v>
      </c>
      <c r="BE22" s="15">
        <f t="shared" si="39"/>
        <v>4139987</v>
      </c>
      <c r="BG22" s="15" t="e">
        <f t="shared" si="47"/>
        <v>#DIV/0!</v>
      </c>
      <c r="BH22" s="15" t="e">
        <f t="shared" si="13"/>
        <v>#DIV/0!</v>
      </c>
      <c r="BI22" s="15">
        <f t="shared" ca="1" si="46"/>
        <v>0</v>
      </c>
      <c r="BJ22" s="15">
        <f>+SUM(E22:E$40)</f>
        <v>29237438</v>
      </c>
      <c r="BK22" s="15">
        <f>+SUM(J22:J$40)+F22</f>
        <v>0</v>
      </c>
      <c r="BL22" s="15">
        <f>+SUM(R22:R$40)+N22</f>
        <v>0</v>
      </c>
      <c r="BM22" s="15">
        <f>+SUM(Z22:Z$40)+V22</f>
        <v>0</v>
      </c>
      <c r="BN22" s="16">
        <f t="shared" si="15"/>
        <v>0</v>
      </c>
      <c r="BO22" s="16">
        <f t="shared" si="16"/>
        <v>0</v>
      </c>
      <c r="BP22" s="16">
        <f t="shared" si="17"/>
        <v>0</v>
      </c>
      <c r="BQ22" s="16">
        <f t="shared" si="40"/>
        <v>1</v>
      </c>
      <c r="BR22" s="16">
        <f t="shared" si="40"/>
        <v>1</v>
      </c>
      <c r="BS22" s="16">
        <f t="shared" si="40"/>
        <v>1</v>
      </c>
      <c r="BT22" s="32" t="e">
        <f t="shared" si="41"/>
        <v>#DIV/0!</v>
      </c>
      <c r="BU22" s="32" t="e">
        <f t="shared" si="41"/>
        <v>#DIV/0!</v>
      </c>
      <c r="BV22" s="32" t="e">
        <f t="shared" si="18"/>
        <v>#DIV/0!</v>
      </c>
      <c r="BW22" s="13">
        <f t="shared" si="42"/>
        <v>44612</v>
      </c>
    </row>
    <row r="23" spans="2:75" x14ac:dyDescent="0.25">
      <c r="B23" s="5">
        <f>Carga!J23</f>
        <v>44640</v>
      </c>
      <c r="C23" s="7">
        <f>Carga!$L23</f>
        <v>0.2969</v>
      </c>
      <c r="E23" s="6">
        <f>Carga!K23</f>
        <v>3820517</v>
      </c>
      <c r="F23" s="6">
        <f t="shared" si="19"/>
        <v>0</v>
      </c>
      <c r="G23" s="7">
        <f>+MAX(Carga!$D$8,MIN(Carga!$F$8,Carga!$E$8+$C23))</f>
        <v>0.30690000000000001</v>
      </c>
      <c r="H23" s="6">
        <f t="shared" si="43"/>
        <v>0</v>
      </c>
      <c r="I23" s="6">
        <f t="shared" si="0"/>
        <v>0</v>
      </c>
      <c r="J23" s="6">
        <f>MIN(SUM(H$4:H23)-SUM(J$4:J22),E23)</f>
        <v>0</v>
      </c>
      <c r="K23" s="6">
        <f t="shared" si="20"/>
        <v>0</v>
      </c>
      <c r="M23" s="6">
        <f t="shared" si="1"/>
        <v>3820517</v>
      </c>
      <c r="N23" s="6">
        <f t="shared" si="21"/>
        <v>0</v>
      </c>
      <c r="O23" s="7">
        <f>+MAX(Carga!$D$9,MIN(Carga!$F$9,Carga!$E$9+$C23))</f>
        <v>0.32689999999999997</v>
      </c>
      <c r="P23" s="6">
        <f t="shared" si="44"/>
        <v>0</v>
      </c>
      <c r="Q23" s="6">
        <f t="shared" si="2"/>
        <v>0</v>
      </c>
      <c r="R23" s="6">
        <f>MIN(SUM(P$4:P23)-SUM(R$4:R22),M23)</f>
        <v>0</v>
      </c>
      <c r="S23" s="6">
        <f t="shared" si="22"/>
        <v>0</v>
      </c>
      <c r="U23" s="6">
        <f t="shared" si="3"/>
        <v>3820517</v>
      </c>
      <c r="V23" s="6">
        <f t="shared" si="23"/>
        <v>0</v>
      </c>
      <c r="W23" s="7">
        <f>+MAX(Carga!$D$10,MIN(Carga!$F$10,Carga!$E$10+$C23))</f>
        <v>0.2969</v>
      </c>
      <c r="X23" s="6">
        <f t="shared" si="45"/>
        <v>0</v>
      </c>
      <c r="Y23" s="6">
        <f t="shared" si="4"/>
        <v>0</v>
      </c>
      <c r="Z23" s="6">
        <f>MIN(SUM(X$4:X23)-SUM(Z$4:Z22),U23)</f>
        <v>0</v>
      </c>
      <c r="AA23" s="6">
        <f t="shared" si="24"/>
        <v>0</v>
      </c>
      <c r="AC23" s="6">
        <f t="shared" si="5"/>
        <v>3820517</v>
      </c>
      <c r="AD23" s="6">
        <f t="shared" si="25"/>
        <v>100</v>
      </c>
      <c r="AE23" s="7" t="b">
        <f>IF(MAX(AC24:AC$40)&gt;0,FALSE,TRUE)</f>
        <v>0</v>
      </c>
      <c r="AF23" s="6">
        <f t="shared" si="6"/>
        <v>0</v>
      </c>
      <c r="AG23" s="6">
        <f t="shared" si="7"/>
        <v>3820517</v>
      </c>
      <c r="AH23" s="6">
        <f t="shared" si="26"/>
        <v>3820517</v>
      </c>
      <c r="AJ23" s="6">
        <f t="shared" si="27"/>
        <v>579</v>
      </c>
      <c r="AL23" s="6">
        <f t="shared" si="28"/>
        <v>0</v>
      </c>
      <c r="AM23" s="6" t="e">
        <f t="shared" si="8"/>
        <v>#NUM!</v>
      </c>
      <c r="AN23" s="6" t="e">
        <f t="shared" si="29"/>
        <v>#NUM!</v>
      </c>
      <c r="AP23" s="6">
        <f t="shared" si="30"/>
        <v>0</v>
      </c>
      <c r="AQ23" s="6" t="e">
        <f t="shared" si="9"/>
        <v>#NUM!</v>
      </c>
      <c r="AR23" s="6" t="e">
        <f t="shared" si="31"/>
        <v>#NUM!</v>
      </c>
      <c r="AT23" s="6">
        <f t="shared" si="32"/>
        <v>0</v>
      </c>
      <c r="AU23" s="6" t="e">
        <f t="shared" si="10"/>
        <v>#NUM!</v>
      </c>
      <c r="AV23" s="6" t="e">
        <f t="shared" si="33"/>
        <v>#NUM!</v>
      </c>
      <c r="AX23" s="6">
        <f t="shared" si="34"/>
        <v>3820517</v>
      </c>
      <c r="AY23" s="6" t="e">
        <f t="shared" si="11"/>
        <v>#NUM!</v>
      </c>
      <c r="AZ23" s="6" t="e">
        <f t="shared" si="35"/>
        <v>#NUM!</v>
      </c>
      <c r="BB23" s="6">
        <f t="shared" si="36"/>
        <v>0</v>
      </c>
      <c r="BC23" s="6">
        <f t="shared" si="37"/>
        <v>0</v>
      </c>
      <c r="BD23" s="6">
        <f t="shared" si="38"/>
        <v>0</v>
      </c>
      <c r="BE23" s="6">
        <f t="shared" si="39"/>
        <v>3820517</v>
      </c>
      <c r="BG23" s="6" t="e">
        <f t="shared" si="47"/>
        <v>#DIV/0!</v>
      </c>
      <c r="BH23" s="6" t="e">
        <f t="shared" si="13"/>
        <v>#DIV/0!</v>
      </c>
      <c r="BI23" s="6">
        <f t="shared" ca="1" si="46"/>
        <v>0</v>
      </c>
      <c r="BJ23" s="6">
        <f>+SUM(E23:E$40)</f>
        <v>25097451</v>
      </c>
      <c r="BK23" s="6">
        <f>+SUM(J23:J$40)+F23</f>
        <v>0</v>
      </c>
      <c r="BL23" s="6">
        <f>+SUM(R23:R$40)+N23</f>
        <v>0</v>
      </c>
      <c r="BM23" s="6">
        <f>+SUM(Z23:Z$40)+V23</f>
        <v>0</v>
      </c>
      <c r="BN23" s="7">
        <f t="shared" si="15"/>
        <v>0</v>
      </c>
      <c r="BO23" s="7">
        <f t="shared" si="16"/>
        <v>0</v>
      </c>
      <c r="BP23" s="7">
        <f t="shared" si="17"/>
        <v>0</v>
      </c>
      <c r="BQ23" s="7">
        <f t="shared" si="40"/>
        <v>1</v>
      </c>
      <c r="BR23" s="7">
        <f t="shared" si="40"/>
        <v>1</v>
      </c>
      <c r="BS23" s="7">
        <f t="shared" si="40"/>
        <v>1</v>
      </c>
      <c r="BT23" s="31" t="e">
        <f t="shared" si="41"/>
        <v>#DIV/0!</v>
      </c>
      <c r="BU23" s="31" t="e">
        <f t="shared" si="41"/>
        <v>#DIV/0!</v>
      </c>
      <c r="BV23" s="31" t="e">
        <f t="shared" si="18"/>
        <v>#DIV/0!</v>
      </c>
      <c r="BW23" s="5">
        <f t="shared" si="42"/>
        <v>44640</v>
      </c>
    </row>
    <row r="24" spans="2:75" x14ac:dyDescent="0.25">
      <c r="B24" s="13">
        <f>Carga!J24</f>
        <v>44671</v>
      </c>
      <c r="C24" s="16">
        <f>Carga!$L24</f>
        <v>0.2969</v>
      </c>
      <c r="E24" s="15">
        <f>Carga!K24</f>
        <v>3240134</v>
      </c>
      <c r="F24" s="15">
        <f t="shared" si="19"/>
        <v>0</v>
      </c>
      <c r="G24" s="16">
        <f>+MAX(Carga!$D$8,MIN(Carga!$F$8,Carga!$E$8+$C24))</f>
        <v>0.30690000000000001</v>
      </c>
      <c r="H24" s="15">
        <f t="shared" si="43"/>
        <v>0</v>
      </c>
      <c r="I24" s="15">
        <f t="shared" si="0"/>
        <v>0</v>
      </c>
      <c r="J24" s="15">
        <f>MIN(SUM(H$4:H24)-SUM(J$4:J23),E24)</f>
        <v>0</v>
      </c>
      <c r="K24" s="15">
        <f t="shared" si="20"/>
        <v>0</v>
      </c>
      <c r="M24" s="15">
        <f t="shared" si="1"/>
        <v>3240134</v>
      </c>
      <c r="N24" s="15">
        <f t="shared" si="21"/>
        <v>0</v>
      </c>
      <c r="O24" s="16">
        <f>+MAX(Carga!$D$9,MIN(Carga!$F$9,Carga!$E$9+$C24))</f>
        <v>0.32689999999999997</v>
      </c>
      <c r="P24" s="15">
        <f t="shared" si="44"/>
        <v>0</v>
      </c>
      <c r="Q24" s="15">
        <f t="shared" si="2"/>
        <v>0</v>
      </c>
      <c r="R24" s="15">
        <f>MIN(SUM(P$4:P24)-SUM(R$4:R23),M24)</f>
        <v>0</v>
      </c>
      <c r="S24" s="15">
        <f t="shared" si="22"/>
        <v>0</v>
      </c>
      <c r="U24" s="15">
        <f t="shared" si="3"/>
        <v>3240134</v>
      </c>
      <c r="V24" s="15">
        <f t="shared" si="23"/>
        <v>0</v>
      </c>
      <c r="W24" s="16">
        <f>+MAX(Carga!$D$10,MIN(Carga!$F$10,Carga!$E$10+$C24))</f>
        <v>0.2969</v>
      </c>
      <c r="X24" s="15">
        <f t="shared" si="45"/>
        <v>0</v>
      </c>
      <c r="Y24" s="15">
        <f t="shared" si="4"/>
        <v>0</v>
      </c>
      <c r="Z24" s="15">
        <f>MIN(SUM(X$4:X24)-SUM(Z$4:Z23),U24)</f>
        <v>0</v>
      </c>
      <c r="AA24" s="15">
        <f t="shared" si="24"/>
        <v>0</v>
      </c>
      <c r="AC24" s="15">
        <f t="shared" si="5"/>
        <v>3240134</v>
      </c>
      <c r="AD24" s="15">
        <f t="shared" si="25"/>
        <v>100</v>
      </c>
      <c r="AE24" s="14" t="b">
        <f>IF(MAX(AC25:AC$40)&gt;0,FALSE,TRUE)</f>
        <v>0</v>
      </c>
      <c r="AF24" s="15">
        <f t="shared" si="6"/>
        <v>0</v>
      </c>
      <c r="AG24" s="15">
        <f t="shared" si="7"/>
        <v>3240134</v>
      </c>
      <c r="AH24" s="15">
        <f t="shared" si="26"/>
        <v>3240134</v>
      </c>
      <c r="AJ24" s="14">
        <f t="shared" si="27"/>
        <v>610</v>
      </c>
      <c r="AL24" s="15">
        <f t="shared" si="28"/>
        <v>0</v>
      </c>
      <c r="AM24" s="15" t="e">
        <f t="shared" si="8"/>
        <v>#NUM!</v>
      </c>
      <c r="AN24" s="14" t="e">
        <f t="shared" si="29"/>
        <v>#NUM!</v>
      </c>
      <c r="AP24" s="15">
        <f t="shared" si="30"/>
        <v>0</v>
      </c>
      <c r="AQ24" s="15" t="e">
        <f t="shared" si="9"/>
        <v>#NUM!</v>
      </c>
      <c r="AR24" s="15" t="e">
        <f t="shared" si="31"/>
        <v>#NUM!</v>
      </c>
      <c r="AT24" s="15">
        <f t="shared" si="32"/>
        <v>0</v>
      </c>
      <c r="AU24" s="15" t="e">
        <f t="shared" si="10"/>
        <v>#NUM!</v>
      </c>
      <c r="AV24" s="15" t="e">
        <f t="shared" si="33"/>
        <v>#NUM!</v>
      </c>
      <c r="AX24" s="15">
        <f t="shared" si="34"/>
        <v>3240134</v>
      </c>
      <c r="AY24" s="15" t="e">
        <f t="shared" si="11"/>
        <v>#NUM!</v>
      </c>
      <c r="AZ24" s="15" t="e">
        <f t="shared" si="35"/>
        <v>#NUM!</v>
      </c>
      <c r="BB24" s="15">
        <f t="shared" si="36"/>
        <v>0</v>
      </c>
      <c r="BC24" s="15">
        <f t="shared" si="37"/>
        <v>0</v>
      </c>
      <c r="BD24" s="15">
        <f t="shared" si="38"/>
        <v>0</v>
      </c>
      <c r="BE24" s="15">
        <f t="shared" si="39"/>
        <v>3240134</v>
      </c>
      <c r="BG24" s="15" t="e">
        <f t="shared" si="47"/>
        <v>#DIV/0!</v>
      </c>
      <c r="BH24" s="15" t="e">
        <f t="shared" si="13"/>
        <v>#DIV/0!</v>
      </c>
      <c r="BI24" s="15">
        <f t="shared" ca="1" si="46"/>
        <v>0</v>
      </c>
      <c r="BJ24" s="15">
        <f>+SUM(E24:E$40)</f>
        <v>21276934</v>
      </c>
      <c r="BK24" s="15">
        <f>+SUM(J24:J$40)+F24</f>
        <v>0</v>
      </c>
      <c r="BL24" s="15">
        <f>+SUM(R24:R$40)+N24</f>
        <v>0</v>
      </c>
      <c r="BM24" s="15">
        <f>+SUM(Z24:Z$40)+V24</f>
        <v>0</v>
      </c>
      <c r="BN24" s="16">
        <f t="shared" si="15"/>
        <v>0</v>
      </c>
      <c r="BO24" s="16">
        <f t="shared" si="16"/>
        <v>0</v>
      </c>
      <c r="BP24" s="16">
        <f t="shared" si="17"/>
        <v>0</v>
      </c>
      <c r="BQ24" s="16">
        <f t="shared" si="40"/>
        <v>1</v>
      </c>
      <c r="BR24" s="16">
        <f t="shared" si="40"/>
        <v>1</v>
      </c>
      <c r="BS24" s="16">
        <f t="shared" si="40"/>
        <v>1</v>
      </c>
      <c r="BT24" s="32" t="e">
        <f t="shared" si="41"/>
        <v>#DIV/0!</v>
      </c>
      <c r="BU24" s="32" t="e">
        <f t="shared" si="41"/>
        <v>#DIV/0!</v>
      </c>
      <c r="BV24" s="32" t="e">
        <f t="shared" si="18"/>
        <v>#DIV/0!</v>
      </c>
      <c r="BW24" s="13">
        <f t="shared" si="42"/>
        <v>44671</v>
      </c>
    </row>
    <row r="25" spans="2:75" x14ac:dyDescent="0.25">
      <c r="B25" s="5">
        <f>Carga!J25</f>
        <v>44701</v>
      </c>
      <c r="C25" s="7">
        <f>Carga!$L25</f>
        <v>0.2969</v>
      </c>
      <c r="E25" s="6">
        <f>Carga!K25</f>
        <v>2508317</v>
      </c>
      <c r="F25" s="6">
        <f t="shared" si="19"/>
        <v>0</v>
      </c>
      <c r="G25" s="7">
        <f>+MAX(Carga!$D$8,MIN(Carga!$F$8,Carga!$E$8+$C25))</f>
        <v>0.30690000000000001</v>
      </c>
      <c r="H25" s="6">
        <f t="shared" si="43"/>
        <v>0</v>
      </c>
      <c r="I25" s="6">
        <f t="shared" si="0"/>
        <v>0</v>
      </c>
      <c r="J25" s="6">
        <f>MIN(SUM(H$4:H25)-SUM(J$4:J24),E25)</f>
        <v>0</v>
      </c>
      <c r="K25" s="6">
        <f t="shared" si="20"/>
        <v>0</v>
      </c>
      <c r="M25" s="6">
        <f t="shared" si="1"/>
        <v>2508317</v>
      </c>
      <c r="N25" s="6">
        <f t="shared" si="21"/>
        <v>0</v>
      </c>
      <c r="O25" s="7">
        <f>+MAX(Carga!$D$9,MIN(Carga!$F$9,Carga!$E$9+$C25))</f>
        <v>0.32689999999999997</v>
      </c>
      <c r="P25" s="6">
        <f t="shared" si="44"/>
        <v>0</v>
      </c>
      <c r="Q25" s="6">
        <f t="shared" si="2"/>
        <v>0</v>
      </c>
      <c r="R25" s="6">
        <f>MIN(SUM(P$4:P25)-SUM(R$4:R24),M25)</f>
        <v>0</v>
      </c>
      <c r="S25" s="6">
        <f t="shared" si="22"/>
        <v>0</v>
      </c>
      <c r="U25" s="6">
        <f t="shared" si="3"/>
        <v>2508317</v>
      </c>
      <c r="V25" s="6">
        <f t="shared" si="23"/>
        <v>0</v>
      </c>
      <c r="W25" s="7">
        <f>+MAX(Carga!$D$10,MIN(Carga!$F$10,Carga!$E$10+$C25))</f>
        <v>0.2969</v>
      </c>
      <c r="X25" s="6">
        <f t="shared" si="45"/>
        <v>0</v>
      </c>
      <c r="Y25" s="6">
        <f t="shared" si="4"/>
        <v>0</v>
      </c>
      <c r="Z25" s="6">
        <f>MIN(SUM(X$4:X25)-SUM(Z$4:Z24),U25)</f>
        <v>0</v>
      </c>
      <c r="AA25" s="6">
        <f t="shared" si="24"/>
        <v>0</v>
      </c>
      <c r="AC25" s="6">
        <f t="shared" si="5"/>
        <v>2508317</v>
      </c>
      <c r="AD25" s="6">
        <f t="shared" si="25"/>
        <v>100</v>
      </c>
      <c r="AE25" s="7" t="b">
        <f>IF(MAX(AC26:AC$40)&gt;0,FALSE,TRUE)</f>
        <v>0</v>
      </c>
      <c r="AF25" s="6">
        <f t="shared" si="6"/>
        <v>0</v>
      </c>
      <c r="AG25" s="6">
        <f t="shared" si="7"/>
        <v>2508317</v>
      </c>
      <c r="AH25" s="6">
        <f t="shared" si="26"/>
        <v>2508317</v>
      </c>
      <c r="AJ25" s="6">
        <f t="shared" si="27"/>
        <v>640</v>
      </c>
      <c r="AL25" s="6">
        <f t="shared" si="28"/>
        <v>0</v>
      </c>
      <c r="AM25" s="6" t="e">
        <f t="shared" si="8"/>
        <v>#NUM!</v>
      </c>
      <c r="AN25" s="6" t="e">
        <f t="shared" si="29"/>
        <v>#NUM!</v>
      </c>
      <c r="AP25" s="6">
        <f t="shared" si="30"/>
        <v>0</v>
      </c>
      <c r="AQ25" s="6" t="e">
        <f t="shared" si="9"/>
        <v>#NUM!</v>
      </c>
      <c r="AR25" s="6" t="e">
        <f t="shared" si="31"/>
        <v>#NUM!</v>
      </c>
      <c r="AT25" s="6">
        <f t="shared" si="32"/>
        <v>0</v>
      </c>
      <c r="AU25" s="6" t="e">
        <f t="shared" si="10"/>
        <v>#NUM!</v>
      </c>
      <c r="AV25" s="6" t="e">
        <f t="shared" si="33"/>
        <v>#NUM!</v>
      </c>
      <c r="AX25" s="6">
        <f t="shared" si="34"/>
        <v>2508317</v>
      </c>
      <c r="AY25" s="6" t="e">
        <f t="shared" si="11"/>
        <v>#NUM!</v>
      </c>
      <c r="AZ25" s="6" t="e">
        <f t="shared" si="35"/>
        <v>#NUM!</v>
      </c>
      <c r="BB25" s="6">
        <f t="shared" si="36"/>
        <v>0</v>
      </c>
      <c r="BC25" s="6">
        <f t="shared" si="37"/>
        <v>0</v>
      </c>
      <c r="BD25" s="6">
        <f t="shared" si="38"/>
        <v>0</v>
      </c>
      <c r="BE25" s="6">
        <f t="shared" si="39"/>
        <v>2508317</v>
      </c>
      <c r="BG25" s="6" t="e">
        <f t="shared" si="47"/>
        <v>#DIV/0!</v>
      </c>
      <c r="BH25" s="6" t="e">
        <f t="shared" si="13"/>
        <v>#DIV/0!</v>
      </c>
      <c r="BI25" s="6">
        <f t="shared" ca="1" si="46"/>
        <v>0</v>
      </c>
      <c r="BJ25" s="6">
        <f>+SUM(E25:E$40)</f>
        <v>18036800</v>
      </c>
      <c r="BK25" s="6">
        <f>+SUM(J25:J$40)+F25</f>
        <v>0</v>
      </c>
      <c r="BL25" s="6">
        <f>+SUM(R25:R$40)+N25</f>
        <v>0</v>
      </c>
      <c r="BM25" s="6">
        <f>+SUM(Z25:Z$40)+V25</f>
        <v>0</v>
      </c>
      <c r="BN25" s="7">
        <f t="shared" si="15"/>
        <v>0</v>
      </c>
      <c r="BO25" s="7">
        <f t="shared" si="16"/>
        <v>0</v>
      </c>
      <c r="BP25" s="7">
        <f t="shared" si="17"/>
        <v>0</v>
      </c>
      <c r="BQ25" s="7">
        <f t="shared" si="40"/>
        <v>1</v>
      </c>
      <c r="BR25" s="7">
        <f t="shared" si="40"/>
        <v>1</v>
      </c>
      <c r="BS25" s="7">
        <f t="shared" si="40"/>
        <v>1</v>
      </c>
      <c r="BT25" s="31" t="e">
        <f t="shared" si="41"/>
        <v>#DIV/0!</v>
      </c>
      <c r="BU25" s="31" t="e">
        <f t="shared" si="41"/>
        <v>#DIV/0!</v>
      </c>
      <c r="BV25" s="31" t="e">
        <f t="shared" si="18"/>
        <v>#DIV/0!</v>
      </c>
      <c r="BW25" s="5">
        <f t="shared" si="42"/>
        <v>44701</v>
      </c>
    </row>
    <row r="26" spans="2:75" x14ac:dyDescent="0.25">
      <c r="B26" s="13">
        <f>Carga!J26</f>
        <v>44732</v>
      </c>
      <c r="C26" s="16">
        <f>Carga!$L26</f>
        <v>0.2969</v>
      </c>
      <c r="E26" s="15">
        <f>Carga!K26</f>
        <v>2263850</v>
      </c>
      <c r="F26" s="15">
        <f t="shared" si="19"/>
        <v>0</v>
      </c>
      <c r="G26" s="16">
        <f>+MAX(Carga!$D$8,MIN(Carga!$F$8,Carga!$E$8+$C26))</f>
        <v>0.30690000000000001</v>
      </c>
      <c r="H26" s="15">
        <f t="shared" si="43"/>
        <v>0</v>
      </c>
      <c r="I26" s="15">
        <f t="shared" si="0"/>
        <v>0</v>
      </c>
      <c r="J26" s="15">
        <f>MIN(SUM(H$4:H26)-SUM(J$4:J25),E26)</f>
        <v>0</v>
      </c>
      <c r="K26" s="15">
        <f t="shared" si="20"/>
        <v>0</v>
      </c>
      <c r="M26" s="15">
        <f t="shared" si="1"/>
        <v>2263850</v>
      </c>
      <c r="N26" s="15">
        <f t="shared" si="21"/>
        <v>0</v>
      </c>
      <c r="O26" s="16">
        <f>+MAX(Carga!$D$9,MIN(Carga!$F$9,Carga!$E$9+$C26))</f>
        <v>0.32689999999999997</v>
      </c>
      <c r="P26" s="15">
        <f t="shared" si="44"/>
        <v>0</v>
      </c>
      <c r="Q26" s="15">
        <f t="shared" si="2"/>
        <v>0</v>
      </c>
      <c r="R26" s="15">
        <f>MIN(SUM(P$4:P26)-SUM(R$4:R25),M26)</f>
        <v>0</v>
      </c>
      <c r="S26" s="15">
        <f t="shared" si="22"/>
        <v>0</v>
      </c>
      <c r="U26" s="15">
        <f t="shared" si="3"/>
        <v>2263850</v>
      </c>
      <c r="V26" s="15">
        <f t="shared" si="23"/>
        <v>0</v>
      </c>
      <c r="W26" s="16">
        <f>+MAX(Carga!$D$10,MIN(Carga!$F$10,Carga!$E$10+$C26))</f>
        <v>0.2969</v>
      </c>
      <c r="X26" s="15">
        <f t="shared" si="45"/>
        <v>0</v>
      </c>
      <c r="Y26" s="15">
        <f t="shared" si="4"/>
        <v>0</v>
      </c>
      <c r="Z26" s="15">
        <f>MIN(SUM(X$4:X26)-SUM(Z$4:Z25),U26)</f>
        <v>0</v>
      </c>
      <c r="AA26" s="15">
        <f t="shared" si="24"/>
        <v>0</v>
      </c>
      <c r="AC26" s="15">
        <f t="shared" si="5"/>
        <v>2263850</v>
      </c>
      <c r="AD26" s="15">
        <f t="shared" si="25"/>
        <v>100</v>
      </c>
      <c r="AE26" s="14" t="b">
        <f>IF(MAX(AC27:AC$40)&gt;0,FALSE,TRUE)</f>
        <v>0</v>
      </c>
      <c r="AF26" s="15">
        <f t="shared" si="6"/>
        <v>0</v>
      </c>
      <c r="AG26" s="15">
        <f t="shared" si="7"/>
        <v>2263850</v>
      </c>
      <c r="AH26" s="15">
        <f t="shared" si="26"/>
        <v>2263850</v>
      </c>
      <c r="AJ26" s="14">
        <f t="shared" si="27"/>
        <v>671</v>
      </c>
      <c r="AL26" s="15">
        <f t="shared" si="28"/>
        <v>0</v>
      </c>
      <c r="AM26" s="15" t="e">
        <f t="shared" si="8"/>
        <v>#NUM!</v>
      </c>
      <c r="AN26" s="14" t="e">
        <f t="shared" si="29"/>
        <v>#NUM!</v>
      </c>
      <c r="AP26" s="15">
        <f t="shared" si="30"/>
        <v>0</v>
      </c>
      <c r="AQ26" s="15" t="e">
        <f t="shared" si="9"/>
        <v>#NUM!</v>
      </c>
      <c r="AR26" s="15" t="e">
        <f t="shared" si="31"/>
        <v>#NUM!</v>
      </c>
      <c r="AT26" s="15">
        <f t="shared" si="32"/>
        <v>0</v>
      </c>
      <c r="AU26" s="15" t="e">
        <f t="shared" si="10"/>
        <v>#NUM!</v>
      </c>
      <c r="AV26" s="15" t="e">
        <f t="shared" si="33"/>
        <v>#NUM!</v>
      </c>
      <c r="AX26" s="15">
        <f t="shared" si="34"/>
        <v>2263850</v>
      </c>
      <c r="AY26" s="15" t="e">
        <f t="shared" si="11"/>
        <v>#NUM!</v>
      </c>
      <c r="AZ26" s="15" t="e">
        <f t="shared" si="35"/>
        <v>#NUM!</v>
      </c>
      <c r="BB26" s="15">
        <f t="shared" si="36"/>
        <v>0</v>
      </c>
      <c r="BC26" s="15">
        <f t="shared" si="37"/>
        <v>0</v>
      </c>
      <c r="BD26" s="15">
        <f t="shared" si="38"/>
        <v>0</v>
      </c>
      <c r="BE26" s="15">
        <f t="shared" si="39"/>
        <v>2263850</v>
      </c>
      <c r="BG26" s="15" t="e">
        <f t="shared" si="47"/>
        <v>#DIV/0!</v>
      </c>
      <c r="BH26" s="15" t="e">
        <f t="shared" si="13"/>
        <v>#DIV/0!</v>
      </c>
      <c r="BI26" s="15">
        <f t="shared" ca="1" si="46"/>
        <v>0</v>
      </c>
      <c r="BJ26" s="15">
        <f>+SUM(E26:E$40)</f>
        <v>15528483</v>
      </c>
      <c r="BK26" s="15">
        <f>+SUM(J26:J$40)+F26</f>
        <v>0</v>
      </c>
      <c r="BL26" s="15">
        <f>+SUM(R26:R$40)+N26</f>
        <v>0</v>
      </c>
      <c r="BM26" s="15">
        <f>+SUM(Z26:Z$40)+V26</f>
        <v>0</v>
      </c>
      <c r="BN26" s="16">
        <f t="shared" si="15"/>
        <v>0</v>
      </c>
      <c r="BO26" s="16">
        <f t="shared" si="16"/>
        <v>0</v>
      </c>
      <c r="BP26" s="16">
        <f t="shared" si="17"/>
        <v>0</v>
      </c>
      <c r="BQ26" s="16">
        <f t="shared" si="40"/>
        <v>1</v>
      </c>
      <c r="BR26" s="16">
        <f t="shared" si="40"/>
        <v>1</v>
      </c>
      <c r="BS26" s="16">
        <f t="shared" si="40"/>
        <v>1</v>
      </c>
      <c r="BT26" s="32" t="e">
        <f t="shared" si="41"/>
        <v>#DIV/0!</v>
      </c>
      <c r="BU26" s="32" t="e">
        <f t="shared" si="41"/>
        <v>#DIV/0!</v>
      </c>
      <c r="BV26" s="32" t="e">
        <f t="shared" si="18"/>
        <v>#DIV/0!</v>
      </c>
      <c r="BW26" s="13">
        <f t="shared" si="42"/>
        <v>44732</v>
      </c>
    </row>
    <row r="27" spans="2:75" x14ac:dyDescent="0.25">
      <c r="B27" s="5">
        <f>Carga!J27</f>
        <v>44762</v>
      </c>
      <c r="C27" s="7">
        <f>Carga!$L27</f>
        <v>0.2969</v>
      </c>
      <c r="E27" s="6">
        <f>Carga!K27</f>
        <v>2145422</v>
      </c>
      <c r="F27" s="6">
        <f t="shared" si="19"/>
        <v>0</v>
      </c>
      <c r="G27" s="7">
        <f>+MAX(Carga!$D$8,MIN(Carga!$F$8,Carga!$E$8+$C27))</f>
        <v>0.30690000000000001</v>
      </c>
      <c r="H27" s="6">
        <f t="shared" si="43"/>
        <v>0</v>
      </c>
      <c r="I27" s="6">
        <f t="shared" si="0"/>
        <v>0</v>
      </c>
      <c r="J27" s="6">
        <f>MIN(SUM(H$4:H27)-SUM(J$4:J26),E27)</f>
        <v>0</v>
      </c>
      <c r="K27" s="6">
        <f t="shared" si="20"/>
        <v>0</v>
      </c>
      <c r="M27" s="6">
        <f t="shared" si="1"/>
        <v>2145422</v>
      </c>
      <c r="N27" s="6">
        <f t="shared" si="21"/>
        <v>0</v>
      </c>
      <c r="O27" s="7">
        <f>+MAX(Carga!$D$9,MIN(Carga!$F$9,Carga!$E$9+$C27))</f>
        <v>0.32689999999999997</v>
      </c>
      <c r="P27" s="6">
        <f t="shared" si="44"/>
        <v>0</v>
      </c>
      <c r="Q27" s="6">
        <f t="shared" si="2"/>
        <v>0</v>
      </c>
      <c r="R27" s="6">
        <f>MIN(SUM(P$4:P27)-SUM(R$4:R26),M27)</f>
        <v>0</v>
      </c>
      <c r="S27" s="6">
        <f t="shared" si="22"/>
        <v>0</v>
      </c>
      <c r="U27" s="6">
        <f t="shared" si="3"/>
        <v>2145422</v>
      </c>
      <c r="V27" s="6">
        <f t="shared" si="23"/>
        <v>0</v>
      </c>
      <c r="W27" s="7">
        <f>+MAX(Carga!$D$10,MIN(Carga!$F$10,Carga!$E$10+$C27))</f>
        <v>0.2969</v>
      </c>
      <c r="X27" s="6">
        <f t="shared" si="45"/>
        <v>0</v>
      </c>
      <c r="Y27" s="6">
        <f t="shared" si="4"/>
        <v>0</v>
      </c>
      <c r="Z27" s="6">
        <f>MIN(SUM(X$4:X27)-SUM(Z$4:Z26),U27)</f>
        <v>0</v>
      </c>
      <c r="AA27" s="6">
        <f t="shared" si="24"/>
        <v>0</v>
      </c>
      <c r="AC27" s="6">
        <f t="shared" si="5"/>
        <v>2145422</v>
      </c>
      <c r="AD27" s="6">
        <f t="shared" si="25"/>
        <v>100</v>
      </c>
      <c r="AE27" s="7" t="b">
        <f>IF(MAX(AC28:AC$40)&gt;0,FALSE,TRUE)</f>
        <v>0</v>
      </c>
      <c r="AF27" s="6">
        <f t="shared" si="6"/>
        <v>0</v>
      </c>
      <c r="AG27" s="6">
        <f t="shared" si="7"/>
        <v>2145422</v>
      </c>
      <c r="AH27" s="6">
        <f t="shared" si="26"/>
        <v>2145422</v>
      </c>
      <c r="AJ27" s="6">
        <f t="shared" si="27"/>
        <v>701</v>
      </c>
      <c r="AL27" s="6">
        <f t="shared" si="28"/>
        <v>0</v>
      </c>
      <c r="AM27" s="6" t="e">
        <f t="shared" si="8"/>
        <v>#NUM!</v>
      </c>
      <c r="AN27" s="6" t="e">
        <f t="shared" si="29"/>
        <v>#NUM!</v>
      </c>
      <c r="AP27" s="6">
        <f t="shared" si="30"/>
        <v>0</v>
      </c>
      <c r="AQ27" s="6" t="e">
        <f t="shared" si="9"/>
        <v>#NUM!</v>
      </c>
      <c r="AR27" s="6" t="e">
        <f t="shared" si="31"/>
        <v>#NUM!</v>
      </c>
      <c r="AT27" s="6">
        <f t="shared" si="32"/>
        <v>0</v>
      </c>
      <c r="AU27" s="6" t="e">
        <f t="shared" si="10"/>
        <v>#NUM!</v>
      </c>
      <c r="AV27" s="6" t="e">
        <f t="shared" si="33"/>
        <v>#NUM!</v>
      </c>
      <c r="AX27" s="6">
        <f t="shared" si="34"/>
        <v>2145422</v>
      </c>
      <c r="AY27" s="6" t="e">
        <f t="shared" si="11"/>
        <v>#NUM!</v>
      </c>
      <c r="AZ27" s="6" t="e">
        <f t="shared" si="35"/>
        <v>#NUM!</v>
      </c>
      <c r="BB27" s="6">
        <f t="shared" si="36"/>
        <v>0</v>
      </c>
      <c r="BC27" s="6">
        <f t="shared" si="37"/>
        <v>0</v>
      </c>
      <c r="BD27" s="6">
        <f t="shared" si="38"/>
        <v>0</v>
      </c>
      <c r="BE27" s="6">
        <f t="shared" si="39"/>
        <v>2145422</v>
      </c>
      <c r="BG27" s="6" t="e">
        <f t="shared" si="47"/>
        <v>#DIV/0!</v>
      </c>
      <c r="BH27" s="6" t="e">
        <f t="shared" si="13"/>
        <v>#DIV/0!</v>
      </c>
      <c r="BI27" s="6">
        <f t="shared" ca="1" si="46"/>
        <v>0</v>
      </c>
      <c r="BJ27" s="6">
        <f>+SUM(E27:E$40)</f>
        <v>13264633</v>
      </c>
      <c r="BK27" s="6">
        <f>+SUM(J27:J$40)+F27</f>
        <v>0</v>
      </c>
      <c r="BL27" s="6">
        <f>+SUM(R27:R$40)+N27</f>
        <v>0</v>
      </c>
      <c r="BM27" s="6">
        <f>+SUM(Z27:Z$40)+V27</f>
        <v>0</v>
      </c>
      <c r="BN27" s="7">
        <f t="shared" si="15"/>
        <v>0</v>
      </c>
      <c r="BO27" s="7">
        <f t="shared" si="16"/>
        <v>0</v>
      </c>
      <c r="BP27" s="7">
        <f t="shared" si="17"/>
        <v>0</v>
      </c>
      <c r="BQ27" s="7">
        <f t="shared" si="40"/>
        <v>1</v>
      </c>
      <c r="BR27" s="7">
        <f t="shared" si="40"/>
        <v>1</v>
      </c>
      <c r="BS27" s="7">
        <f t="shared" si="40"/>
        <v>1</v>
      </c>
      <c r="BT27" s="31" t="e">
        <f t="shared" si="41"/>
        <v>#DIV/0!</v>
      </c>
      <c r="BU27" s="31" t="e">
        <f t="shared" si="41"/>
        <v>#DIV/0!</v>
      </c>
      <c r="BV27" s="31" t="e">
        <f t="shared" si="18"/>
        <v>#DIV/0!</v>
      </c>
      <c r="BW27" s="5">
        <f t="shared" si="42"/>
        <v>44762</v>
      </c>
    </row>
    <row r="28" spans="2:75" x14ac:dyDescent="0.25">
      <c r="B28" s="13">
        <f>Carga!J28</f>
        <v>44793</v>
      </c>
      <c r="C28" s="16">
        <f>Carga!$L28</f>
        <v>0.2969</v>
      </c>
      <c r="E28" s="15">
        <f>Carga!K28</f>
        <v>2140347</v>
      </c>
      <c r="F28" s="15">
        <f t="shared" si="19"/>
        <v>0</v>
      </c>
      <c r="G28" s="16">
        <f>+MAX(Carga!$D$8,MIN(Carga!$F$8,Carga!$E$8+$C28))</f>
        <v>0.30690000000000001</v>
      </c>
      <c r="H28" s="15">
        <f t="shared" si="43"/>
        <v>0</v>
      </c>
      <c r="I28" s="15">
        <f t="shared" si="0"/>
        <v>0</v>
      </c>
      <c r="J28" s="15">
        <f>MIN(SUM(H$4:H28)-SUM(J$4:J27),E28)</f>
        <v>0</v>
      </c>
      <c r="K28" s="15">
        <f t="shared" si="20"/>
        <v>0</v>
      </c>
      <c r="M28" s="15">
        <f t="shared" si="1"/>
        <v>2140347</v>
      </c>
      <c r="N28" s="15">
        <f t="shared" si="21"/>
        <v>0</v>
      </c>
      <c r="O28" s="16">
        <f>+MAX(Carga!$D$9,MIN(Carga!$F$9,Carga!$E$9+$C28))</f>
        <v>0.32689999999999997</v>
      </c>
      <c r="P28" s="15">
        <f t="shared" si="44"/>
        <v>0</v>
      </c>
      <c r="Q28" s="15">
        <f t="shared" si="2"/>
        <v>0</v>
      </c>
      <c r="R28" s="15">
        <f>MIN(SUM(P$4:P28)-SUM(R$4:R27),M28)</f>
        <v>0</v>
      </c>
      <c r="S28" s="15">
        <f t="shared" si="22"/>
        <v>0</v>
      </c>
      <c r="U28" s="15">
        <f t="shared" si="3"/>
        <v>2140347</v>
      </c>
      <c r="V28" s="15">
        <f t="shared" si="23"/>
        <v>0</v>
      </c>
      <c r="W28" s="16">
        <f>+MAX(Carga!$D$10,MIN(Carga!$F$10,Carga!$E$10+$C28))</f>
        <v>0.2969</v>
      </c>
      <c r="X28" s="15">
        <f t="shared" si="45"/>
        <v>0</v>
      </c>
      <c r="Y28" s="15">
        <f t="shared" si="4"/>
        <v>0</v>
      </c>
      <c r="Z28" s="15">
        <f>MIN(SUM(X$4:X28)-SUM(Z$4:Z27),U28)</f>
        <v>0</v>
      </c>
      <c r="AA28" s="15">
        <f t="shared" si="24"/>
        <v>0</v>
      </c>
      <c r="AC28" s="15">
        <f t="shared" si="5"/>
        <v>2140347</v>
      </c>
      <c r="AD28" s="15">
        <f t="shared" si="25"/>
        <v>100</v>
      </c>
      <c r="AE28" s="14" t="b">
        <f>IF(MAX(AC29:AC$40)&gt;0,FALSE,TRUE)</f>
        <v>0</v>
      </c>
      <c r="AF28" s="15">
        <f t="shared" si="6"/>
        <v>0</v>
      </c>
      <c r="AG28" s="15">
        <f t="shared" si="7"/>
        <v>2140347</v>
      </c>
      <c r="AH28" s="15">
        <f t="shared" si="26"/>
        <v>2140347</v>
      </c>
      <c r="AJ28" s="14">
        <f t="shared" si="27"/>
        <v>732</v>
      </c>
      <c r="AL28" s="15">
        <f t="shared" si="28"/>
        <v>0</v>
      </c>
      <c r="AM28" s="15" t="e">
        <f t="shared" si="8"/>
        <v>#NUM!</v>
      </c>
      <c r="AN28" s="14" t="e">
        <f t="shared" si="29"/>
        <v>#NUM!</v>
      </c>
      <c r="AP28" s="15">
        <f t="shared" si="30"/>
        <v>0</v>
      </c>
      <c r="AQ28" s="15" t="e">
        <f t="shared" si="9"/>
        <v>#NUM!</v>
      </c>
      <c r="AR28" s="15" t="e">
        <f t="shared" si="31"/>
        <v>#NUM!</v>
      </c>
      <c r="AT28" s="15">
        <f t="shared" si="32"/>
        <v>0</v>
      </c>
      <c r="AU28" s="15" t="e">
        <f t="shared" si="10"/>
        <v>#NUM!</v>
      </c>
      <c r="AV28" s="15" t="e">
        <f t="shared" si="33"/>
        <v>#NUM!</v>
      </c>
      <c r="AX28" s="15">
        <f t="shared" si="34"/>
        <v>2140347</v>
      </c>
      <c r="AY28" s="15" t="e">
        <f t="shared" si="11"/>
        <v>#NUM!</v>
      </c>
      <c r="AZ28" s="15" t="e">
        <f t="shared" si="35"/>
        <v>#NUM!</v>
      </c>
      <c r="BB28" s="15">
        <f t="shared" si="36"/>
        <v>0</v>
      </c>
      <c r="BC28" s="15">
        <f t="shared" si="37"/>
        <v>0</v>
      </c>
      <c r="BD28" s="15">
        <f t="shared" si="38"/>
        <v>0</v>
      </c>
      <c r="BE28" s="15">
        <f t="shared" si="39"/>
        <v>2140347</v>
      </c>
      <c r="BG28" s="15" t="e">
        <f t="shared" si="47"/>
        <v>#DIV/0!</v>
      </c>
      <c r="BH28" s="15" t="e">
        <f t="shared" si="13"/>
        <v>#DIV/0!</v>
      </c>
      <c r="BI28" s="15">
        <f t="shared" ca="1" si="46"/>
        <v>0</v>
      </c>
      <c r="BJ28" s="15">
        <f>+SUM(E28:E$40)</f>
        <v>11119211</v>
      </c>
      <c r="BK28" s="15">
        <f>+SUM(J28:J$40)+F28</f>
        <v>0</v>
      </c>
      <c r="BL28" s="15">
        <f>+SUM(R28:R$40)+N28</f>
        <v>0</v>
      </c>
      <c r="BM28" s="15">
        <f>+SUM(Z28:Z$40)+V28</f>
        <v>0</v>
      </c>
      <c r="BN28" s="16">
        <f t="shared" si="15"/>
        <v>0</v>
      </c>
      <c r="BO28" s="16">
        <f t="shared" si="16"/>
        <v>0</v>
      </c>
      <c r="BP28" s="16">
        <f t="shared" si="17"/>
        <v>0</v>
      </c>
      <c r="BQ28" s="16">
        <f t="shared" si="40"/>
        <v>1</v>
      </c>
      <c r="BR28" s="16">
        <f t="shared" si="40"/>
        <v>1</v>
      </c>
      <c r="BS28" s="16">
        <f t="shared" si="40"/>
        <v>1</v>
      </c>
      <c r="BT28" s="32" t="e">
        <f t="shared" si="41"/>
        <v>#DIV/0!</v>
      </c>
      <c r="BU28" s="32" t="e">
        <f t="shared" si="41"/>
        <v>#DIV/0!</v>
      </c>
      <c r="BV28" s="32" t="e">
        <f t="shared" si="18"/>
        <v>#DIV/0!</v>
      </c>
      <c r="BW28" s="13">
        <f t="shared" si="42"/>
        <v>44793</v>
      </c>
    </row>
    <row r="29" spans="2:75" x14ac:dyDescent="0.25">
      <c r="B29" s="5">
        <f>Carga!J29</f>
        <v>44824</v>
      </c>
      <c r="C29" s="7">
        <f>Carga!$L29</f>
        <v>0.2969</v>
      </c>
      <c r="E29" s="6">
        <f>Carga!K29</f>
        <v>2075183</v>
      </c>
      <c r="F29" s="6">
        <f t="shared" si="19"/>
        <v>0</v>
      </c>
      <c r="G29" s="7">
        <f>+MAX(Carga!$D$8,MIN(Carga!$F$8,Carga!$E$8+$C29))</f>
        <v>0.30690000000000001</v>
      </c>
      <c r="H29" s="6">
        <f t="shared" si="43"/>
        <v>0</v>
      </c>
      <c r="I29" s="6">
        <f t="shared" si="0"/>
        <v>0</v>
      </c>
      <c r="J29" s="6">
        <f>MIN(SUM(H$4:H29)-SUM(J$4:J28),E29)</f>
        <v>0</v>
      </c>
      <c r="K29" s="6">
        <f t="shared" si="20"/>
        <v>0</v>
      </c>
      <c r="M29" s="6">
        <f t="shared" si="1"/>
        <v>2075183</v>
      </c>
      <c r="N29" s="6">
        <f t="shared" si="21"/>
        <v>0</v>
      </c>
      <c r="O29" s="7">
        <f>+MAX(Carga!$D$9,MIN(Carga!$F$9,Carga!$E$9+$C29))</f>
        <v>0.32689999999999997</v>
      </c>
      <c r="P29" s="6">
        <f t="shared" si="44"/>
        <v>0</v>
      </c>
      <c r="Q29" s="6">
        <f t="shared" si="2"/>
        <v>0</v>
      </c>
      <c r="R29" s="6">
        <f>MIN(SUM(P$4:P29)-SUM(R$4:R28),M29)</f>
        <v>0</v>
      </c>
      <c r="S29" s="6">
        <f t="shared" si="22"/>
        <v>0</v>
      </c>
      <c r="U29" s="6">
        <f t="shared" si="3"/>
        <v>2075183</v>
      </c>
      <c r="V29" s="6">
        <f t="shared" si="23"/>
        <v>0</v>
      </c>
      <c r="W29" s="7">
        <f>+MAX(Carga!$D$10,MIN(Carga!$F$10,Carga!$E$10+$C29))</f>
        <v>0.2969</v>
      </c>
      <c r="X29" s="6">
        <f t="shared" si="45"/>
        <v>0</v>
      </c>
      <c r="Y29" s="6">
        <f t="shared" si="4"/>
        <v>0</v>
      </c>
      <c r="Z29" s="6">
        <f>MIN(SUM(X$4:X29)-SUM(Z$4:Z28),U29)</f>
        <v>0</v>
      </c>
      <c r="AA29" s="6">
        <f t="shared" si="24"/>
        <v>0</v>
      </c>
      <c r="AC29" s="6">
        <f t="shared" si="5"/>
        <v>2075183</v>
      </c>
      <c r="AD29" s="6">
        <f t="shared" si="25"/>
        <v>100</v>
      </c>
      <c r="AE29" s="7" t="b">
        <f>IF(MAX(AC30:AC$40)&gt;0,FALSE,TRUE)</f>
        <v>0</v>
      </c>
      <c r="AF29" s="6">
        <f t="shared" si="6"/>
        <v>0</v>
      </c>
      <c r="AG29" s="6">
        <f t="shared" si="7"/>
        <v>2075183</v>
      </c>
      <c r="AH29" s="6">
        <f t="shared" si="26"/>
        <v>2075183</v>
      </c>
      <c r="AJ29" s="6">
        <f t="shared" si="27"/>
        <v>763</v>
      </c>
      <c r="AL29" s="6">
        <f t="shared" si="28"/>
        <v>0</v>
      </c>
      <c r="AM29" s="6" t="e">
        <f t="shared" si="8"/>
        <v>#NUM!</v>
      </c>
      <c r="AN29" s="6" t="e">
        <f t="shared" si="29"/>
        <v>#NUM!</v>
      </c>
      <c r="AP29" s="6">
        <f t="shared" si="30"/>
        <v>0</v>
      </c>
      <c r="AQ29" s="6" t="e">
        <f t="shared" si="9"/>
        <v>#NUM!</v>
      </c>
      <c r="AR29" s="6" t="e">
        <f t="shared" si="31"/>
        <v>#NUM!</v>
      </c>
      <c r="AT29" s="6">
        <f t="shared" si="32"/>
        <v>0</v>
      </c>
      <c r="AU29" s="6" t="e">
        <f t="shared" si="10"/>
        <v>#NUM!</v>
      </c>
      <c r="AV29" s="6" t="e">
        <f t="shared" si="33"/>
        <v>#NUM!</v>
      </c>
      <c r="AX29" s="6">
        <f t="shared" si="34"/>
        <v>2075183</v>
      </c>
      <c r="AY29" s="6" t="e">
        <f t="shared" si="11"/>
        <v>#NUM!</v>
      </c>
      <c r="AZ29" s="6" t="e">
        <f t="shared" si="35"/>
        <v>#NUM!</v>
      </c>
      <c r="BB29" s="6">
        <f t="shared" si="36"/>
        <v>0</v>
      </c>
      <c r="BC29" s="6">
        <f t="shared" si="37"/>
        <v>0</v>
      </c>
      <c r="BD29" s="6">
        <f t="shared" si="38"/>
        <v>0</v>
      </c>
      <c r="BE29" s="6">
        <f t="shared" si="39"/>
        <v>2075183</v>
      </c>
      <c r="BG29" s="6" t="e">
        <f t="shared" si="47"/>
        <v>#DIV/0!</v>
      </c>
      <c r="BH29" s="6" t="e">
        <f t="shared" si="13"/>
        <v>#DIV/0!</v>
      </c>
      <c r="BI29" s="6">
        <f t="shared" ca="1" si="46"/>
        <v>0</v>
      </c>
      <c r="BJ29" s="6">
        <f>+SUM(E29:E$40)</f>
        <v>8978864</v>
      </c>
      <c r="BK29" s="6">
        <f>+SUM(J29:J$40)+F29</f>
        <v>0</v>
      </c>
      <c r="BL29" s="6">
        <f>+SUM(R29:R$40)+N29</f>
        <v>0</v>
      </c>
      <c r="BM29" s="6">
        <f>+SUM(Z29:Z$40)+V29</f>
        <v>0</v>
      </c>
      <c r="BN29" s="7">
        <f t="shared" si="15"/>
        <v>0</v>
      </c>
      <c r="BO29" s="7">
        <f t="shared" si="16"/>
        <v>0</v>
      </c>
      <c r="BP29" s="7">
        <f t="shared" si="17"/>
        <v>0</v>
      </c>
      <c r="BQ29" s="7">
        <f t="shared" si="40"/>
        <v>1</v>
      </c>
      <c r="BR29" s="7">
        <f t="shared" si="40"/>
        <v>1</v>
      </c>
      <c r="BS29" s="7">
        <f t="shared" si="40"/>
        <v>1</v>
      </c>
      <c r="BT29" s="31" t="e">
        <f t="shared" si="41"/>
        <v>#DIV/0!</v>
      </c>
      <c r="BU29" s="31" t="e">
        <f t="shared" si="41"/>
        <v>#DIV/0!</v>
      </c>
      <c r="BV29" s="31" t="e">
        <f t="shared" si="18"/>
        <v>#DIV/0!</v>
      </c>
      <c r="BW29" s="5">
        <f t="shared" si="42"/>
        <v>44824</v>
      </c>
    </row>
    <row r="30" spans="2:75" x14ac:dyDescent="0.25">
      <c r="B30" s="13">
        <f>Carga!J30</f>
        <v>44854</v>
      </c>
      <c r="C30" s="16">
        <f>Carga!$L30</f>
        <v>0.2969</v>
      </c>
      <c r="E30" s="15">
        <f>Carga!K30</f>
        <v>1324824</v>
      </c>
      <c r="F30" s="15">
        <f t="shared" si="19"/>
        <v>0</v>
      </c>
      <c r="G30" s="16">
        <f>+MAX(Carga!$D$8,MIN(Carga!$F$8,Carga!$E$8+$C30))</f>
        <v>0.30690000000000001</v>
      </c>
      <c r="H30" s="15">
        <f t="shared" si="43"/>
        <v>0</v>
      </c>
      <c r="I30" s="15">
        <f t="shared" si="0"/>
        <v>0</v>
      </c>
      <c r="J30" s="15">
        <f>MIN(SUM(H$4:H30)-SUM(J$4:J29),E30)</f>
        <v>0</v>
      </c>
      <c r="K30" s="15">
        <f t="shared" si="20"/>
        <v>0</v>
      </c>
      <c r="M30" s="15">
        <f t="shared" si="1"/>
        <v>1324824</v>
      </c>
      <c r="N30" s="15">
        <f t="shared" si="21"/>
        <v>0</v>
      </c>
      <c r="O30" s="16">
        <f>+MAX(Carga!$D$9,MIN(Carga!$F$9,Carga!$E$9+$C30))</f>
        <v>0.32689999999999997</v>
      </c>
      <c r="P30" s="15">
        <f t="shared" si="44"/>
        <v>0</v>
      </c>
      <c r="Q30" s="15">
        <f t="shared" si="2"/>
        <v>0</v>
      </c>
      <c r="R30" s="15">
        <f>MIN(SUM(P$4:P30)-SUM(R$4:R29),M30)</f>
        <v>0</v>
      </c>
      <c r="S30" s="15">
        <f t="shared" si="22"/>
        <v>0</v>
      </c>
      <c r="U30" s="15">
        <f t="shared" si="3"/>
        <v>1324824</v>
      </c>
      <c r="V30" s="15">
        <f t="shared" si="23"/>
        <v>0</v>
      </c>
      <c r="W30" s="16">
        <f>+MAX(Carga!$D$10,MIN(Carga!$F$10,Carga!$E$10+$C30))</f>
        <v>0.2969</v>
      </c>
      <c r="X30" s="15">
        <f t="shared" si="45"/>
        <v>0</v>
      </c>
      <c r="Y30" s="15">
        <f t="shared" si="4"/>
        <v>0</v>
      </c>
      <c r="Z30" s="15">
        <f>MIN(SUM(X$4:X30)-SUM(Z$4:Z29),U30)</f>
        <v>0</v>
      </c>
      <c r="AA30" s="15">
        <f t="shared" si="24"/>
        <v>0</v>
      </c>
      <c r="AC30" s="15">
        <f t="shared" si="5"/>
        <v>1324824</v>
      </c>
      <c r="AD30" s="15">
        <f t="shared" si="25"/>
        <v>100</v>
      </c>
      <c r="AE30" s="14" t="b">
        <f>IF(MAX(AC31:AC$40)&gt;0,FALSE,TRUE)</f>
        <v>0</v>
      </c>
      <c r="AF30" s="15">
        <f t="shared" si="6"/>
        <v>0</v>
      </c>
      <c r="AG30" s="15">
        <f t="shared" si="7"/>
        <v>1324824</v>
      </c>
      <c r="AH30" s="15">
        <f t="shared" si="26"/>
        <v>1324824</v>
      </c>
      <c r="AJ30" s="14">
        <f t="shared" si="27"/>
        <v>793</v>
      </c>
      <c r="AL30" s="15">
        <f t="shared" si="28"/>
        <v>0</v>
      </c>
      <c r="AM30" s="15" t="e">
        <f t="shared" si="8"/>
        <v>#NUM!</v>
      </c>
      <c r="AN30" s="14" t="e">
        <f t="shared" si="29"/>
        <v>#NUM!</v>
      </c>
      <c r="AP30" s="15">
        <f t="shared" si="30"/>
        <v>0</v>
      </c>
      <c r="AQ30" s="15" t="e">
        <f t="shared" si="9"/>
        <v>#NUM!</v>
      </c>
      <c r="AR30" s="15" t="e">
        <f t="shared" si="31"/>
        <v>#NUM!</v>
      </c>
      <c r="AT30" s="15">
        <f t="shared" si="32"/>
        <v>0</v>
      </c>
      <c r="AU30" s="15" t="e">
        <f t="shared" si="10"/>
        <v>#NUM!</v>
      </c>
      <c r="AV30" s="15" t="e">
        <f t="shared" si="33"/>
        <v>#NUM!</v>
      </c>
      <c r="AX30" s="15">
        <f t="shared" si="34"/>
        <v>1324824</v>
      </c>
      <c r="AY30" s="15" t="e">
        <f t="shared" si="11"/>
        <v>#NUM!</v>
      </c>
      <c r="AZ30" s="15" t="e">
        <f t="shared" si="35"/>
        <v>#NUM!</v>
      </c>
      <c r="BB30" s="15">
        <f t="shared" si="36"/>
        <v>0</v>
      </c>
      <c r="BC30" s="15">
        <f t="shared" si="37"/>
        <v>0</v>
      </c>
      <c r="BD30" s="15">
        <f t="shared" si="38"/>
        <v>0</v>
      </c>
      <c r="BE30" s="15">
        <f t="shared" si="39"/>
        <v>1324824</v>
      </c>
      <c r="BG30" s="15" t="e">
        <f t="shared" si="47"/>
        <v>#DIV/0!</v>
      </c>
      <c r="BH30" s="15" t="e">
        <f t="shared" si="13"/>
        <v>#DIV/0!</v>
      </c>
      <c r="BI30" s="15">
        <f t="shared" ca="1" si="46"/>
        <v>0</v>
      </c>
      <c r="BJ30" s="15">
        <f>+SUM(E30:E$40)</f>
        <v>6903681</v>
      </c>
      <c r="BK30" s="15">
        <f>+SUM(J30:J$40)+F30</f>
        <v>0</v>
      </c>
      <c r="BL30" s="15">
        <f>+SUM(R30:R$40)+N30</f>
        <v>0</v>
      </c>
      <c r="BM30" s="15">
        <f>+SUM(Z30:Z$40)+V30</f>
        <v>0</v>
      </c>
      <c r="BN30" s="16">
        <f t="shared" si="15"/>
        <v>0</v>
      </c>
      <c r="BO30" s="16">
        <f t="shared" si="16"/>
        <v>0</v>
      </c>
      <c r="BP30" s="16">
        <f t="shared" si="17"/>
        <v>0</v>
      </c>
      <c r="BQ30" s="16">
        <f t="shared" si="40"/>
        <v>1</v>
      </c>
      <c r="BR30" s="16">
        <f t="shared" si="40"/>
        <v>1</v>
      </c>
      <c r="BS30" s="16">
        <f t="shared" si="40"/>
        <v>1</v>
      </c>
      <c r="BT30" s="32" t="e">
        <f t="shared" si="41"/>
        <v>#DIV/0!</v>
      </c>
      <c r="BU30" s="32" t="e">
        <f t="shared" si="41"/>
        <v>#DIV/0!</v>
      </c>
      <c r="BV30" s="32" t="e">
        <f t="shared" si="18"/>
        <v>#DIV/0!</v>
      </c>
      <c r="BW30" s="13">
        <f t="shared" si="42"/>
        <v>44854</v>
      </c>
    </row>
    <row r="31" spans="2:75" x14ac:dyDescent="0.25">
      <c r="B31" s="5">
        <f>Carga!J31</f>
        <v>44885</v>
      </c>
      <c r="C31" s="7">
        <f>Carga!$L31</f>
        <v>0.2969</v>
      </c>
      <c r="E31" s="6">
        <f>Carga!K31</f>
        <v>1277252</v>
      </c>
      <c r="F31" s="6">
        <f t="shared" si="19"/>
        <v>0</v>
      </c>
      <c r="G31" s="7">
        <f>+MAX(Carga!$D$8,MIN(Carga!$F$8,Carga!$E$8+$C31))</f>
        <v>0.30690000000000001</v>
      </c>
      <c r="H31" s="6">
        <f t="shared" si="43"/>
        <v>0</v>
      </c>
      <c r="I31" s="6">
        <f t="shared" si="0"/>
        <v>0</v>
      </c>
      <c r="J31" s="6">
        <f>MIN(SUM(H$4:H31)-SUM(J$4:J30),E31)</f>
        <v>0</v>
      </c>
      <c r="K31" s="6">
        <f t="shared" si="20"/>
        <v>0</v>
      </c>
      <c r="M31" s="6">
        <f t="shared" si="1"/>
        <v>1277252</v>
      </c>
      <c r="N31" s="6">
        <f t="shared" si="21"/>
        <v>0</v>
      </c>
      <c r="O31" s="7">
        <f>+MAX(Carga!$D$9,MIN(Carga!$F$9,Carga!$E$9+$C31))</f>
        <v>0.32689999999999997</v>
      </c>
      <c r="P31" s="6">
        <f t="shared" si="44"/>
        <v>0</v>
      </c>
      <c r="Q31" s="6">
        <f t="shared" si="2"/>
        <v>0</v>
      </c>
      <c r="R31" s="6">
        <f>MIN(SUM(P$4:P31)-SUM(R$4:R30),M31)</f>
        <v>0</v>
      </c>
      <c r="S31" s="6">
        <f t="shared" si="22"/>
        <v>0</v>
      </c>
      <c r="U31" s="6">
        <f t="shared" si="3"/>
        <v>1277252</v>
      </c>
      <c r="V31" s="6">
        <f t="shared" si="23"/>
        <v>0</v>
      </c>
      <c r="W31" s="7">
        <f>+MAX(Carga!$D$10,MIN(Carga!$F$10,Carga!$E$10+$C31))</f>
        <v>0.2969</v>
      </c>
      <c r="X31" s="6">
        <f t="shared" si="45"/>
        <v>0</v>
      </c>
      <c r="Y31" s="6">
        <f t="shared" si="4"/>
        <v>0</v>
      </c>
      <c r="Z31" s="6">
        <f>MIN(SUM(X$4:X31)-SUM(Z$4:Z30),U31)</f>
        <v>0</v>
      </c>
      <c r="AA31" s="6">
        <f t="shared" si="24"/>
        <v>0</v>
      </c>
      <c r="AC31" s="6">
        <f t="shared" si="5"/>
        <v>1277252</v>
      </c>
      <c r="AD31" s="6">
        <f t="shared" si="25"/>
        <v>100</v>
      </c>
      <c r="AE31" s="7" t="b">
        <f>IF(MAX(AC32:AC$40)&gt;0,FALSE,TRUE)</f>
        <v>0</v>
      </c>
      <c r="AF31" s="6">
        <f t="shared" si="6"/>
        <v>0</v>
      </c>
      <c r="AG31" s="6">
        <f t="shared" si="7"/>
        <v>1277252</v>
      </c>
      <c r="AH31" s="6">
        <f t="shared" si="26"/>
        <v>1277252</v>
      </c>
      <c r="AJ31" s="6">
        <f t="shared" si="27"/>
        <v>824</v>
      </c>
      <c r="AL31" s="6">
        <f t="shared" si="28"/>
        <v>0</v>
      </c>
      <c r="AM31" s="6" t="e">
        <f t="shared" si="8"/>
        <v>#NUM!</v>
      </c>
      <c r="AN31" s="6" t="e">
        <f t="shared" si="29"/>
        <v>#NUM!</v>
      </c>
      <c r="AP31" s="6">
        <f t="shared" si="30"/>
        <v>0</v>
      </c>
      <c r="AQ31" s="6" t="e">
        <f t="shared" si="9"/>
        <v>#NUM!</v>
      </c>
      <c r="AR31" s="6" t="e">
        <f t="shared" si="31"/>
        <v>#NUM!</v>
      </c>
      <c r="AT31" s="6">
        <f t="shared" si="32"/>
        <v>0</v>
      </c>
      <c r="AU31" s="6" t="e">
        <f t="shared" si="10"/>
        <v>#NUM!</v>
      </c>
      <c r="AV31" s="6" t="e">
        <f t="shared" si="33"/>
        <v>#NUM!</v>
      </c>
      <c r="AX31" s="6">
        <f t="shared" si="34"/>
        <v>1277252</v>
      </c>
      <c r="AY31" s="6" t="e">
        <f t="shared" si="11"/>
        <v>#NUM!</v>
      </c>
      <c r="AZ31" s="6" t="e">
        <f t="shared" si="35"/>
        <v>#NUM!</v>
      </c>
      <c r="BB31" s="6">
        <f t="shared" si="36"/>
        <v>0</v>
      </c>
      <c r="BC31" s="6">
        <f t="shared" si="37"/>
        <v>0</v>
      </c>
      <c r="BD31" s="6">
        <f t="shared" si="38"/>
        <v>0</v>
      </c>
      <c r="BE31" s="6">
        <f t="shared" si="39"/>
        <v>1277252</v>
      </c>
      <c r="BG31" s="6" t="e">
        <f t="shared" si="47"/>
        <v>#DIV/0!</v>
      </c>
      <c r="BH31" s="6" t="e">
        <f t="shared" si="13"/>
        <v>#DIV/0!</v>
      </c>
      <c r="BI31" s="6">
        <f t="shared" ca="1" si="46"/>
        <v>0</v>
      </c>
      <c r="BJ31" s="6">
        <f>+SUM(E31:E$40)</f>
        <v>5578857</v>
      </c>
      <c r="BK31" s="6">
        <f>+SUM(J31:J$40)+F31</f>
        <v>0</v>
      </c>
      <c r="BL31" s="6">
        <f>+SUM(R31:R$40)+N31</f>
        <v>0</v>
      </c>
      <c r="BM31" s="6">
        <f>+SUM(Z31:Z$40)+V31</f>
        <v>0</v>
      </c>
      <c r="BN31" s="7">
        <f t="shared" si="15"/>
        <v>0</v>
      </c>
      <c r="BO31" s="7">
        <f t="shared" si="16"/>
        <v>0</v>
      </c>
      <c r="BP31" s="7">
        <f t="shared" si="17"/>
        <v>0</v>
      </c>
      <c r="BQ31" s="7">
        <f t="shared" si="40"/>
        <v>1</v>
      </c>
      <c r="BR31" s="7">
        <f t="shared" si="40"/>
        <v>1</v>
      </c>
      <c r="BS31" s="7">
        <f t="shared" si="40"/>
        <v>1</v>
      </c>
      <c r="BT31" s="31" t="e">
        <f t="shared" si="41"/>
        <v>#DIV/0!</v>
      </c>
      <c r="BU31" s="31" t="e">
        <f t="shared" si="41"/>
        <v>#DIV/0!</v>
      </c>
      <c r="BV31" s="31" t="e">
        <f t="shared" si="18"/>
        <v>#DIV/0!</v>
      </c>
      <c r="BW31" s="5">
        <f t="shared" si="42"/>
        <v>44885</v>
      </c>
    </row>
    <row r="32" spans="2:75" x14ac:dyDescent="0.25">
      <c r="B32" s="13">
        <f>Carga!J32</f>
        <v>44915</v>
      </c>
      <c r="C32" s="16">
        <f>Carga!$L32</f>
        <v>0.2969</v>
      </c>
      <c r="E32" s="15">
        <f>Carga!K32</f>
        <v>1257024</v>
      </c>
      <c r="F32" s="15">
        <f t="shared" si="19"/>
        <v>0</v>
      </c>
      <c r="G32" s="16">
        <f>+MAX(Carga!$D$8,MIN(Carga!$F$8,Carga!$E$8+$C32))</f>
        <v>0.30690000000000001</v>
      </c>
      <c r="H32" s="15">
        <f t="shared" si="43"/>
        <v>0</v>
      </c>
      <c r="I32" s="15">
        <f t="shared" si="0"/>
        <v>0</v>
      </c>
      <c r="J32" s="15">
        <f>MIN(SUM(H$4:H32)-SUM(J$4:J31),E32)</f>
        <v>0</v>
      </c>
      <c r="K32" s="15">
        <f t="shared" si="20"/>
        <v>0</v>
      </c>
      <c r="M32" s="15">
        <f t="shared" si="1"/>
        <v>1257024</v>
      </c>
      <c r="N32" s="15">
        <f t="shared" si="21"/>
        <v>0</v>
      </c>
      <c r="O32" s="16">
        <f>+MAX(Carga!$D$9,MIN(Carga!$F$9,Carga!$E$9+$C32))</f>
        <v>0.32689999999999997</v>
      </c>
      <c r="P32" s="15">
        <f t="shared" si="44"/>
        <v>0</v>
      </c>
      <c r="Q32" s="15">
        <f t="shared" si="2"/>
        <v>0</v>
      </c>
      <c r="R32" s="15">
        <f>MIN(SUM(P$4:P32)-SUM(R$4:R31),M32)</f>
        <v>0</v>
      </c>
      <c r="S32" s="15">
        <f t="shared" si="22"/>
        <v>0</v>
      </c>
      <c r="U32" s="15">
        <f t="shared" si="3"/>
        <v>1257024</v>
      </c>
      <c r="V32" s="15">
        <f t="shared" si="23"/>
        <v>0</v>
      </c>
      <c r="W32" s="16">
        <f>+MAX(Carga!$D$10,MIN(Carga!$F$10,Carga!$E$10+$C32))</f>
        <v>0.2969</v>
      </c>
      <c r="X32" s="15">
        <f t="shared" si="45"/>
        <v>0</v>
      </c>
      <c r="Y32" s="15">
        <f t="shared" si="4"/>
        <v>0</v>
      </c>
      <c r="Z32" s="15">
        <f>MIN(SUM(X$4:X32)-SUM(Z$4:Z31),U32)</f>
        <v>0</v>
      </c>
      <c r="AA32" s="15">
        <f t="shared" si="24"/>
        <v>0</v>
      </c>
      <c r="AC32" s="15">
        <f t="shared" si="5"/>
        <v>1257024</v>
      </c>
      <c r="AD32" s="15">
        <f t="shared" si="25"/>
        <v>100</v>
      </c>
      <c r="AE32" s="14" t="b">
        <f>IF(MAX(AC33:AC$65)&gt;0,FALSE,TRUE)</f>
        <v>0</v>
      </c>
      <c r="AF32" s="15">
        <f t="shared" si="6"/>
        <v>0</v>
      </c>
      <c r="AG32" s="15">
        <f t="shared" si="7"/>
        <v>1257024</v>
      </c>
      <c r="AH32" s="15">
        <f t="shared" si="26"/>
        <v>1257024</v>
      </c>
      <c r="AJ32" s="14">
        <f t="shared" si="27"/>
        <v>854</v>
      </c>
      <c r="AL32" s="15">
        <f t="shared" si="28"/>
        <v>0</v>
      </c>
      <c r="AM32" s="15" t="e">
        <f t="shared" si="8"/>
        <v>#NUM!</v>
      </c>
      <c r="AN32" s="14" t="e">
        <f t="shared" si="29"/>
        <v>#NUM!</v>
      </c>
      <c r="AP32" s="15">
        <f t="shared" si="30"/>
        <v>0</v>
      </c>
      <c r="AQ32" s="15" t="e">
        <f t="shared" si="9"/>
        <v>#NUM!</v>
      </c>
      <c r="AR32" s="15" t="e">
        <f t="shared" si="31"/>
        <v>#NUM!</v>
      </c>
      <c r="AT32" s="15">
        <f t="shared" si="32"/>
        <v>0</v>
      </c>
      <c r="AU32" s="15" t="e">
        <f t="shared" si="10"/>
        <v>#NUM!</v>
      </c>
      <c r="AV32" s="15" t="e">
        <f t="shared" si="33"/>
        <v>#NUM!</v>
      </c>
      <c r="AX32" s="15">
        <f t="shared" si="34"/>
        <v>1257024</v>
      </c>
      <c r="AY32" s="15" t="e">
        <f t="shared" si="11"/>
        <v>#NUM!</v>
      </c>
      <c r="AZ32" s="15" t="e">
        <f t="shared" si="35"/>
        <v>#NUM!</v>
      </c>
      <c r="BB32" s="15">
        <f t="shared" si="36"/>
        <v>0</v>
      </c>
      <c r="BC32" s="15">
        <f t="shared" si="37"/>
        <v>0</v>
      </c>
      <c r="BD32" s="15">
        <f t="shared" si="38"/>
        <v>0</v>
      </c>
      <c r="BE32" s="15">
        <f t="shared" si="39"/>
        <v>1257024</v>
      </c>
      <c r="BG32" s="15" t="e">
        <f t="shared" si="47"/>
        <v>#DIV/0!</v>
      </c>
      <c r="BH32" s="15" t="e">
        <f t="shared" si="13"/>
        <v>#DIV/0!</v>
      </c>
      <c r="BI32" s="15">
        <f t="shared" ca="1" si="46"/>
        <v>0</v>
      </c>
      <c r="BJ32" s="15">
        <f>+SUM(E32:E$40)</f>
        <v>4301605</v>
      </c>
      <c r="BK32" s="15">
        <f>+SUM(J32:J$40)+F32</f>
        <v>0</v>
      </c>
      <c r="BL32" s="15">
        <f>+SUM(R32:R$40)+N32</f>
        <v>0</v>
      </c>
      <c r="BM32" s="15">
        <f>+SUM(Z32:Z$40)+V32</f>
        <v>0</v>
      </c>
      <c r="BN32" s="16">
        <f t="shared" si="15"/>
        <v>0</v>
      </c>
      <c r="BO32" s="16">
        <f t="shared" si="16"/>
        <v>0</v>
      </c>
      <c r="BP32" s="16">
        <f t="shared" si="17"/>
        <v>0</v>
      </c>
      <c r="BQ32" s="16">
        <f t="shared" si="40"/>
        <v>1</v>
      </c>
      <c r="BR32" s="16">
        <f t="shared" si="40"/>
        <v>1</v>
      </c>
      <c r="BS32" s="16">
        <f t="shared" si="40"/>
        <v>1</v>
      </c>
      <c r="BT32" s="32" t="e">
        <f t="shared" si="41"/>
        <v>#DIV/0!</v>
      </c>
      <c r="BU32" s="32" t="e">
        <f t="shared" si="41"/>
        <v>#DIV/0!</v>
      </c>
      <c r="BV32" s="32" t="e">
        <f t="shared" si="18"/>
        <v>#DIV/0!</v>
      </c>
      <c r="BW32" s="13">
        <f t="shared" si="42"/>
        <v>44915</v>
      </c>
    </row>
    <row r="33" spans="2:75" x14ac:dyDescent="0.25">
      <c r="B33" s="5">
        <f>Carga!J33</f>
        <v>44946</v>
      </c>
      <c r="C33" s="7">
        <f>Carga!$L33</f>
        <v>0.2969</v>
      </c>
      <c r="E33" s="6">
        <f>Carga!K33</f>
        <v>1257173</v>
      </c>
      <c r="F33" s="6">
        <f t="shared" si="19"/>
        <v>0</v>
      </c>
      <c r="G33" s="7">
        <f>+MAX(Carga!$D$8,MIN(Carga!$F$8,Carga!$E$8+$C33))</f>
        <v>0.30690000000000001</v>
      </c>
      <c r="H33" s="6">
        <f t="shared" si="43"/>
        <v>0</v>
      </c>
      <c r="I33" s="6">
        <f t="shared" si="0"/>
        <v>0</v>
      </c>
      <c r="J33" s="6">
        <f>MIN(SUM(H$4:H33)-SUM(J$4:J32),E33)</f>
        <v>0</v>
      </c>
      <c r="K33" s="6">
        <f t="shared" si="20"/>
        <v>0</v>
      </c>
      <c r="M33" s="6">
        <f t="shared" si="1"/>
        <v>1257173</v>
      </c>
      <c r="N33" s="6">
        <f t="shared" si="21"/>
        <v>0</v>
      </c>
      <c r="O33" s="7">
        <f>+MAX(Carga!$D$9,MIN(Carga!$F$9,Carga!$E$9+$C33))</f>
        <v>0.32689999999999997</v>
      </c>
      <c r="P33" s="6">
        <f t="shared" si="44"/>
        <v>0</v>
      </c>
      <c r="Q33" s="6">
        <f t="shared" si="2"/>
        <v>0</v>
      </c>
      <c r="R33" s="6">
        <f>MIN(SUM(P$4:P33)-SUM(R$4:R32),M33)</f>
        <v>0</v>
      </c>
      <c r="S33" s="6">
        <f t="shared" si="22"/>
        <v>0</v>
      </c>
      <c r="U33" s="6">
        <f t="shared" si="3"/>
        <v>1257173</v>
      </c>
      <c r="V33" s="6">
        <f t="shared" si="23"/>
        <v>0</v>
      </c>
      <c r="W33" s="7">
        <f>+MAX(Carga!$D$10,MIN(Carga!$F$10,Carga!$E$10+$C33))</f>
        <v>0.2969</v>
      </c>
      <c r="X33" s="6">
        <f t="shared" si="45"/>
        <v>0</v>
      </c>
      <c r="Y33" s="6">
        <f t="shared" si="4"/>
        <v>0</v>
      </c>
      <c r="Z33" s="6">
        <f>MIN(SUM(X$4:X33)-SUM(Z$4:Z32),U33)</f>
        <v>0</v>
      </c>
      <c r="AA33" s="6">
        <f t="shared" si="24"/>
        <v>0</v>
      </c>
      <c r="AC33" s="6">
        <f t="shared" si="5"/>
        <v>1257173</v>
      </c>
      <c r="AD33" s="6">
        <f t="shared" si="25"/>
        <v>100</v>
      </c>
      <c r="AE33" s="7" t="b">
        <f>IF(MAX(AC34:AC$65)&gt;0,FALSE,TRUE)</f>
        <v>0</v>
      </c>
      <c r="AF33" s="6">
        <f t="shared" si="6"/>
        <v>0</v>
      </c>
      <c r="AG33" s="6">
        <f t="shared" si="7"/>
        <v>1257173</v>
      </c>
      <c r="AH33" s="6">
        <f t="shared" si="26"/>
        <v>1257173</v>
      </c>
      <c r="AJ33" s="6">
        <f t="shared" si="27"/>
        <v>885</v>
      </c>
      <c r="AL33" s="6">
        <f t="shared" si="28"/>
        <v>0</v>
      </c>
      <c r="AM33" s="6" t="e">
        <f t="shared" si="8"/>
        <v>#NUM!</v>
      </c>
      <c r="AN33" s="6" t="e">
        <f t="shared" si="29"/>
        <v>#NUM!</v>
      </c>
      <c r="AP33" s="6">
        <f t="shared" si="30"/>
        <v>0</v>
      </c>
      <c r="AQ33" s="6" t="e">
        <f t="shared" si="9"/>
        <v>#NUM!</v>
      </c>
      <c r="AR33" s="6" t="e">
        <f t="shared" si="31"/>
        <v>#NUM!</v>
      </c>
      <c r="AT33" s="6">
        <f t="shared" si="32"/>
        <v>0</v>
      </c>
      <c r="AU33" s="6" t="e">
        <f t="shared" si="10"/>
        <v>#NUM!</v>
      </c>
      <c r="AV33" s="6" t="e">
        <f t="shared" si="33"/>
        <v>#NUM!</v>
      </c>
      <c r="AX33" s="6">
        <f t="shared" si="34"/>
        <v>1257173</v>
      </c>
      <c r="AY33" s="6" t="e">
        <f t="shared" si="11"/>
        <v>#NUM!</v>
      </c>
      <c r="AZ33" s="6" t="e">
        <f t="shared" si="35"/>
        <v>#NUM!</v>
      </c>
      <c r="BB33" s="6">
        <f t="shared" si="36"/>
        <v>0</v>
      </c>
      <c r="BC33" s="6">
        <f t="shared" si="37"/>
        <v>0</v>
      </c>
      <c r="BD33" s="6">
        <f t="shared" si="38"/>
        <v>0</v>
      </c>
      <c r="BE33" s="6">
        <f t="shared" si="39"/>
        <v>1257173</v>
      </c>
      <c r="BG33" s="6" t="e">
        <f t="shared" si="47"/>
        <v>#DIV/0!</v>
      </c>
      <c r="BH33" s="6" t="e">
        <f t="shared" si="13"/>
        <v>#DIV/0!</v>
      </c>
      <c r="BI33" s="6">
        <f t="shared" ca="1" si="46"/>
        <v>0</v>
      </c>
      <c r="BJ33" s="6">
        <f>+SUM(E33:E$40)</f>
        <v>3044581</v>
      </c>
      <c r="BK33" s="6">
        <f>+SUM(J33:J$40)+F33</f>
        <v>0</v>
      </c>
      <c r="BL33" s="6">
        <f>+SUM(R33:R$40)+N33</f>
        <v>0</v>
      </c>
      <c r="BM33" s="6">
        <f>+SUM(Z33:Z$40)+V33</f>
        <v>0</v>
      </c>
      <c r="BN33" s="7">
        <f t="shared" si="15"/>
        <v>0</v>
      </c>
      <c r="BO33" s="7">
        <f t="shared" si="16"/>
        <v>0</v>
      </c>
      <c r="BP33" s="7">
        <f t="shared" si="17"/>
        <v>0</v>
      </c>
      <c r="BQ33" s="7">
        <f t="shared" si="40"/>
        <v>1</v>
      </c>
      <c r="BR33" s="7">
        <f t="shared" si="40"/>
        <v>1</v>
      </c>
      <c r="BS33" s="7">
        <f t="shared" si="40"/>
        <v>1</v>
      </c>
      <c r="BT33" s="31" t="e">
        <f t="shared" si="41"/>
        <v>#DIV/0!</v>
      </c>
      <c r="BU33" s="31" t="e">
        <f t="shared" si="41"/>
        <v>#DIV/0!</v>
      </c>
      <c r="BV33" s="31" t="e">
        <f t="shared" si="18"/>
        <v>#DIV/0!</v>
      </c>
      <c r="BW33" s="5">
        <f t="shared" si="42"/>
        <v>44946</v>
      </c>
    </row>
    <row r="34" spans="2:75" x14ac:dyDescent="0.25">
      <c r="B34" s="13">
        <f>Carga!J34</f>
        <v>44977</v>
      </c>
      <c r="C34" s="16">
        <f>Carga!$L34</f>
        <v>0.2969</v>
      </c>
      <c r="E34" s="15">
        <f>Carga!K34</f>
        <v>990192</v>
      </c>
      <c r="F34" s="15">
        <f t="shared" si="19"/>
        <v>0</v>
      </c>
      <c r="G34" s="16">
        <f>+MAX(Carga!$D$8,MIN(Carga!$F$8,Carga!$E$8+$C34))</f>
        <v>0.30690000000000001</v>
      </c>
      <c r="H34" s="15">
        <f t="shared" si="43"/>
        <v>0</v>
      </c>
      <c r="I34" s="15">
        <f t="shared" si="0"/>
        <v>0</v>
      </c>
      <c r="J34" s="15">
        <f>MIN(SUM(H$4:H34)-SUM(J$4:J33),E34)</f>
        <v>0</v>
      </c>
      <c r="K34" s="15">
        <f t="shared" si="20"/>
        <v>0</v>
      </c>
      <c r="M34" s="15">
        <f t="shared" si="1"/>
        <v>990192</v>
      </c>
      <c r="N34" s="15">
        <f t="shared" si="21"/>
        <v>0</v>
      </c>
      <c r="O34" s="16">
        <f>+MAX(Carga!$D$9,MIN(Carga!$F$9,Carga!$E$9+$C34))</f>
        <v>0.32689999999999997</v>
      </c>
      <c r="P34" s="15">
        <f t="shared" si="44"/>
        <v>0</v>
      </c>
      <c r="Q34" s="15">
        <f t="shared" si="2"/>
        <v>0</v>
      </c>
      <c r="R34" s="15">
        <f>MIN(SUM(P$4:P34)-SUM(R$4:R33),M34)</f>
        <v>0</v>
      </c>
      <c r="S34" s="15">
        <f t="shared" si="22"/>
        <v>0</v>
      </c>
      <c r="U34" s="15">
        <f t="shared" si="3"/>
        <v>990192</v>
      </c>
      <c r="V34" s="15">
        <f t="shared" si="23"/>
        <v>0</v>
      </c>
      <c r="W34" s="16">
        <f>+MAX(Carga!$D$10,MIN(Carga!$F$10,Carga!$E$10+$C34))</f>
        <v>0.2969</v>
      </c>
      <c r="X34" s="15">
        <f t="shared" si="45"/>
        <v>0</v>
      </c>
      <c r="Y34" s="15">
        <f t="shared" si="4"/>
        <v>0</v>
      </c>
      <c r="Z34" s="15">
        <f>MIN(SUM(X$4:X34)-SUM(Z$4:Z33),U34)</f>
        <v>0</v>
      </c>
      <c r="AA34" s="15">
        <f t="shared" si="24"/>
        <v>0</v>
      </c>
      <c r="AC34" s="15">
        <f t="shared" si="5"/>
        <v>990192</v>
      </c>
      <c r="AD34" s="15">
        <f t="shared" si="25"/>
        <v>100</v>
      </c>
      <c r="AE34" s="14" t="b">
        <f>IF(MAX(AC35:AC$65)&gt;0,FALSE,TRUE)</f>
        <v>0</v>
      </c>
      <c r="AF34" s="15">
        <f t="shared" si="6"/>
        <v>0</v>
      </c>
      <c r="AG34" s="15">
        <f t="shared" si="7"/>
        <v>990192</v>
      </c>
      <c r="AH34" s="15">
        <f t="shared" si="26"/>
        <v>990192</v>
      </c>
      <c r="AJ34" s="14">
        <f t="shared" si="27"/>
        <v>916</v>
      </c>
      <c r="AL34" s="15">
        <f t="shared" si="28"/>
        <v>0</v>
      </c>
      <c r="AM34" s="15" t="e">
        <f t="shared" si="8"/>
        <v>#NUM!</v>
      </c>
      <c r="AN34" s="14" t="e">
        <f t="shared" si="29"/>
        <v>#NUM!</v>
      </c>
      <c r="AP34" s="15">
        <f t="shared" si="30"/>
        <v>0</v>
      </c>
      <c r="AQ34" s="15" t="e">
        <f t="shared" si="9"/>
        <v>#NUM!</v>
      </c>
      <c r="AR34" s="15" t="e">
        <f t="shared" si="31"/>
        <v>#NUM!</v>
      </c>
      <c r="AT34" s="15">
        <f t="shared" si="32"/>
        <v>0</v>
      </c>
      <c r="AU34" s="15" t="e">
        <f t="shared" si="10"/>
        <v>#NUM!</v>
      </c>
      <c r="AV34" s="15" t="e">
        <f t="shared" si="33"/>
        <v>#NUM!</v>
      </c>
      <c r="AX34" s="15">
        <f t="shared" si="34"/>
        <v>990192</v>
      </c>
      <c r="AY34" s="15" t="e">
        <f t="shared" si="11"/>
        <v>#NUM!</v>
      </c>
      <c r="AZ34" s="15" t="e">
        <f t="shared" si="35"/>
        <v>#NUM!</v>
      </c>
      <c r="BB34" s="15">
        <f t="shared" si="36"/>
        <v>0</v>
      </c>
      <c r="BC34" s="15">
        <f t="shared" si="37"/>
        <v>0</v>
      </c>
      <c r="BD34" s="15">
        <f t="shared" si="38"/>
        <v>0</v>
      </c>
      <c r="BE34" s="15">
        <f t="shared" si="39"/>
        <v>990192</v>
      </c>
      <c r="BG34" s="15" t="e">
        <f t="shared" si="47"/>
        <v>#DIV/0!</v>
      </c>
      <c r="BH34" s="15" t="e">
        <f t="shared" si="13"/>
        <v>#DIV/0!</v>
      </c>
      <c r="BI34" s="15">
        <f t="shared" ca="1" si="46"/>
        <v>0</v>
      </c>
      <c r="BJ34" s="15">
        <f>+SUM(E34:E$40)</f>
        <v>1787408</v>
      </c>
      <c r="BK34" s="15">
        <f>+SUM(J34:J$40)+F34</f>
        <v>0</v>
      </c>
      <c r="BL34" s="15">
        <f>+SUM(R34:R$40)+N34</f>
        <v>0</v>
      </c>
      <c r="BM34" s="15">
        <f>+SUM(Z34:Z$40)+V34</f>
        <v>0</v>
      </c>
      <c r="BN34" s="16">
        <f t="shared" si="15"/>
        <v>0</v>
      </c>
      <c r="BO34" s="16">
        <f t="shared" si="16"/>
        <v>0</v>
      </c>
      <c r="BP34" s="16">
        <f t="shared" si="17"/>
        <v>0</v>
      </c>
      <c r="BQ34" s="16">
        <f t="shared" si="40"/>
        <v>1</v>
      </c>
      <c r="BR34" s="16">
        <f t="shared" si="40"/>
        <v>1</v>
      </c>
      <c r="BS34" s="16">
        <f t="shared" si="40"/>
        <v>1</v>
      </c>
      <c r="BT34" s="32" t="e">
        <f t="shared" si="41"/>
        <v>#DIV/0!</v>
      </c>
      <c r="BU34" s="32" t="e">
        <f t="shared" si="41"/>
        <v>#DIV/0!</v>
      </c>
      <c r="BV34" s="32" t="e">
        <f t="shared" si="18"/>
        <v>#DIV/0!</v>
      </c>
      <c r="BW34" s="13">
        <f t="shared" si="42"/>
        <v>44977</v>
      </c>
    </row>
    <row r="35" spans="2:75" x14ac:dyDescent="0.25">
      <c r="B35" s="5">
        <f>Carga!J35</f>
        <v>45005</v>
      </c>
      <c r="C35" s="7">
        <f>Carga!$L35</f>
        <v>0.2969</v>
      </c>
      <c r="E35" s="6">
        <f>Carga!K35</f>
        <v>545050</v>
      </c>
      <c r="F35" s="6">
        <f t="shared" si="19"/>
        <v>0</v>
      </c>
      <c r="G35" s="7">
        <f>+MAX(Carga!$D$8,MIN(Carga!$F$8,Carga!$E$8+$C35))</f>
        <v>0.30690000000000001</v>
      </c>
      <c r="H35" s="6">
        <f t="shared" si="43"/>
        <v>0</v>
      </c>
      <c r="I35" s="6">
        <f t="shared" si="0"/>
        <v>0</v>
      </c>
      <c r="J35" s="6">
        <f>MIN(SUM(H$4:H35)-SUM(J$4:J34),E35)</f>
        <v>0</v>
      </c>
      <c r="K35" s="6">
        <f t="shared" si="20"/>
        <v>0</v>
      </c>
      <c r="M35" s="6">
        <f t="shared" si="1"/>
        <v>545050</v>
      </c>
      <c r="N35" s="6">
        <f t="shared" si="21"/>
        <v>0</v>
      </c>
      <c r="O35" s="7">
        <f>+MAX(Carga!$D$9,MIN(Carga!$F$9,Carga!$E$9+$C35))</f>
        <v>0.32689999999999997</v>
      </c>
      <c r="P35" s="6">
        <f t="shared" si="44"/>
        <v>0</v>
      </c>
      <c r="Q35" s="6">
        <f t="shared" si="2"/>
        <v>0</v>
      </c>
      <c r="R35" s="6">
        <f>MIN(SUM(P$4:P35)-SUM(R$4:R34),M35)</f>
        <v>0</v>
      </c>
      <c r="S35" s="6">
        <f t="shared" si="22"/>
        <v>0</v>
      </c>
      <c r="U35" s="6">
        <f t="shared" si="3"/>
        <v>545050</v>
      </c>
      <c r="V35" s="6">
        <f t="shared" si="23"/>
        <v>0</v>
      </c>
      <c r="W35" s="7">
        <f>+MAX(Carga!$D$10,MIN(Carga!$F$10,Carga!$E$10+$C35))</f>
        <v>0.2969</v>
      </c>
      <c r="X35" s="6">
        <f t="shared" si="45"/>
        <v>0</v>
      </c>
      <c r="Y35" s="6">
        <f t="shared" si="4"/>
        <v>0</v>
      </c>
      <c r="Z35" s="6">
        <f>MIN(SUM(X$4:X35)-SUM(Z$4:Z34),U35)</f>
        <v>0</v>
      </c>
      <c r="AA35" s="6">
        <f t="shared" si="24"/>
        <v>0</v>
      </c>
      <c r="AC35" s="6">
        <f t="shared" si="5"/>
        <v>545050</v>
      </c>
      <c r="AD35" s="6">
        <f t="shared" si="25"/>
        <v>100</v>
      </c>
      <c r="AE35" s="7" t="b">
        <f>IF(MAX(AC36:AC$65)&gt;0,FALSE,TRUE)</f>
        <v>0</v>
      </c>
      <c r="AF35" s="6">
        <f t="shared" si="6"/>
        <v>0</v>
      </c>
      <c r="AG35" s="6">
        <f t="shared" si="7"/>
        <v>545050</v>
      </c>
      <c r="AH35" s="6">
        <f t="shared" si="26"/>
        <v>545050</v>
      </c>
      <c r="AJ35" s="6">
        <f t="shared" si="27"/>
        <v>944</v>
      </c>
      <c r="AL35" s="6">
        <f t="shared" si="28"/>
        <v>0</v>
      </c>
      <c r="AM35" s="6" t="e">
        <f t="shared" si="8"/>
        <v>#NUM!</v>
      </c>
      <c r="AN35" s="6" t="e">
        <f t="shared" si="29"/>
        <v>#NUM!</v>
      </c>
      <c r="AP35" s="6">
        <f t="shared" si="30"/>
        <v>0</v>
      </c>
      <c r="AQ35" s="6" t="e">
        <f t="shared" si="9"/>
        <v>#NUM!</v>
      </c>
      <c r="AR35" s="6" t="e">
        <f t="shared" si="31"/>
        <v>#NUM!</v>
      </c>
      <c r="AT35" s="6">
        <f t="shared" si="32"/>
        <v>0</v>
      </c>
      <c r="AU35" s="6" t="e">
        <f t="shared" si="10"/>
        <v>#NUM!</v>
      </c>
      <c r="AV35" s="6" t="e">
        <f t="shared" si="33"/>
        <v>#NUM!</v>
      </c>
      <c r="AX35" s="6">
        <f t="shared" si="34"/>
        <v>545050</v>
      </c>
      <c r="AY35" s="6" t="e">
        <f t="shared" si="11"/>
        <v>#NUM!</v>
      </c>
      <c r="AZ35" s="6" t="e">
        <f t="shared" si="35"/>
        <v>#NUM!</v>
      </c>
      <c r="BB35" s="6">
        <f t="shared" si="36"/>
        <v>0</v>
      </c>
      <c r="BC35" s="6">
        <f t="shared" si="37"/>
        <v>0</v>
      </c>
      <c r="BD35" s="6">
        <f t="shared" si="38"/>
        <v>0</v>
      </c>
      <c r="BE35" s="6">
        <f t="shared" si="39"/>
        <v>545050</v>
      </c>
      <c r="BG35" s="6" t="e">
        <f t="shared" si="47"/>
        <v>#DIV/0!</v>
      </c>
      <c r="BH35" s="6" t="e">
        <f t="shared" si="13"/>
        <v>#DIV/0!</v>
      </c>
      <c r="BI35" s="6">
        <f t="shared" ca="1" si="46"/>
        <v>0</v>
      </c>
      <c r="BJ35" s="6">
        <f>+SUM(E35:E$40)</f>
        <v>797216</v>
      </c>
      <c r="BK35" s="6">
        <f>+SUM(J35:J$40)+F35</f>
        <v>0</v>
      </c>
      <c r="BL35" s="6">
        <f>+SUM(R35:R$40)+N35</f>
        <v>0</v>
      </c>
      <c r="BM35" s="6">
        <f>+SUM(Z35:Z$40)+V35</f>
        <v>0</v>
      </c>
      <c r="BN35" s="7">
        <f t="shared" si="15"/>
        <v>0</v>
      </c>
      <c r="BO35" s="7">
        <f t="shared" si="16"/>
        <v>0</v>
      </c>
      <c r="BP35" s="7">
        <f t="shared" si="17"/>
        <v>0</v>
      </c>
      <c r="BQ35" s="7">
        <f t="shared" si="40"/>
        <v>1</v>
      </c>
      <c r="BR35" s="7">
        <f t="shared" si="40"/>
        <v>1</v>
      </c>
      <c r="BS35" s="7">
        <f t="shared" si="40"/>
        <v>1</v>
      </c>
      <c r="BT35" s="31" t="e">
        <f t="shared" si="41"/>
        <v>#DIV/0!</v>
      </c>
      <c r="BU35" s="31" t="e">
        <f t="shared" si="41"/>
        <v>#DIV/0!</v>
      </c>
      <c r="BV35" s="31" t="e">
        <f t="shared" si="18"/>
        <v>#DIV/0!</v>
      </c>
      <c r="BW35" s="5">
        <f t="shared" si="42"/>
        <v>45005</v>
      </c>
    </row>
    <row r="36" spans="2:75" x14ac:dyDescent="0.25">
      <c r="B36" s="13">
        <f>Carga!J36</f>
        <v>45036</v>
      </c>
      <c r="C36" s="16">
        <f>Carga!$L36</f>
        <v>0.2969</v>
      </c>
      <c r="E36" s="15">
        <f>Carga!K36</f>
        <v>232586</v>
      </c>
      <c r="F36" s="15">
        <f t="shared" si="19"/>
        <v>0</v>
      </c>
      <c r="G36" s="16">
        <f>+MAX(Carga!$D$8,MIN(Carga!$F$8,Carga!$E$8+$C36))</f>
        <v>0.30690000000000001</v>
      </c>
      <c r="H36" s="15">
        <f t="shared" si="43"/>
        <v>0</v>
      </c>
      <c r="I36" s="15">
        <f t="shared" si="0"/>
        <v>0</v>
      </c>
      <c r="J36" s="15">
        <f>MIN(SUM(H$4:H36)-SUM(J$4:J35),E36)</f>
        <v>0</v>
      </c>
      <c r="K36" s="15">
        <f t="shared" si="20"/>
        <v>0</v>
      </c>
      <c r="M36" s="15">
        <f t="shared" si="1"/>
        <v>232586</v>
      </c>
      <c r="N36" s="15">
        <f t="shared" si="21"/>
        <v>0</v>
      </c>
      <c r="O36" s="16">
        <f>+MAX(Carga!$D$9,MIN(Carga!$F$9,Carga!$E$9+$C36))</f>
        <v>0.32689999999999997</v>
      </c>
      <c r="P36" s="15">
        <f t="shared" si="44"/>
        <v>0</v>
      </c>
      <c r="Q36" s="15">
        <f t="shared" si="2"/>
        <v>0</v>
      </c>
      <c r="R36" s="15">
        <f>MIN(SUM(P$4:P36)-SUM(R$4:R35),M36)</f>
        <v>0</v>
      </c>
      <c r="S36" s="15">
        <f t="shared" si="22"/>
        <v>0</v>
      </c>
      <c r="U36" s="15">
        <f t="shared" si="3"/>
        <v>232586</v>
      </c>
      <c r="V36" s="15">
        <f t="shared" si="23"/>
        <v>0</v>
      </c>
      <c r="W36" s="16">
        <f>+MAX(Carga!$D$10,MIN(Carga!$F$10,Carga!$E$10+$C36))</f>
        <v>0.2969</v>
      </c>
      <c r="X36" s="15">
        <f t="shared" si="45"/>
        <v>0</v>
      </c>
      <c r="Y36" s="15">
        <f t="shared" si="4"/>
        <v>0</v>
      </c>
      <c r="Z36" s="15">
        <f>MIN(SUM(X$4:X36)-SUM(Z$4:Z35),U36)</f>
        <v>0</v>
      </c>
      <c r="AA36" s="15">
        <f t="shared" si="24"/>
        <v>0</v>
      </c>
      <c r="AC36" s="15">
        <f t="shared" si="5"/>
        <v>232586</v>
      </c>
      <c r="AD36" s="15">
        <f t="shared" si="25"/>
        <v>100</v>
      </c>
      <c r="AE36" s="14" t="b">
        <f>IF(MAX(AC37:AC$65)&gt;0,FALSE,TRUE)</f>
        <v>0</v>
      </c>
      <c r="AF36" s="15">
        <f t="shared" si="6"/>
        <v>0</v>
      </c>
      <c r="AG36" s="15">
        <f t="shared" si="7"/>
        <v>232586</v>
      </c>
      <c r="AH36" s="15">
        <f t="shared" si="26"/>
        <v>232586</v>
      </c>
      <c r="AJ36" s="14">
        <f t="shared" si="27"/>
        <v>975</v>
      </c>
      <c r="AL36" s="15">
        <f t="shared" si="28"/>
        <v>0</v>
      </c>
      <c r="AM36" s="15" t="e">
        <f t="shared" si="8"/>
        <v>#NUM!</v>
      </c>
      <c r="AN36" s="14" t="e">
        <f t="shared" si="29"/>
        <v>#NUM!</v>
      </c>
      <c r="AP36" s="15">
        <f t="shared" si="30"/>
        <v>0</v>
      </c>
      <c r="AQ36" s="15" t="e">
        <f t="shared" si="9"/>
        <v>#NUM!</v>
      </c>
      <c r="AR36" s="15" t="e">
        <f t="shared" si="31"/>
        <v>#NUM!</v>
      </c>
      <c r="AT36" s="15">
        <f t="shared" si="32"/>
        <v>0</v>
      </c>
      <c r="AU36" s="15" t="e">
        <f t="shared" si="10"/>
        <v>#NUM!</v>
      </c>
      <c r="AV36" s="15" t="e">
        <f t="shared" si="33"/>
        <v>#NUM!</v>
      </c>
      <c r="AX36" s="15">
        <f t="shared" si="34"/>
        <v>232586</v>
      </c>
      <c r="AY36" s="15" t="e">
        <f t="shared" si="11"/>
        <v>#NUM!</v>
      </c>
      <c r="AZ36" s="15" t="e">
        <f t="shared" si="35"/>
        <v>#NUM!</v>
      </c>
      <c r="BB36" s="15">
        <f t="shared" si="36"/>
        <v>0</v>
      </c>
      <c r="BC36" s="15">
        <f t="shared" si="37"/>
        <v>0</v>
      </c>
      <c r="BD36" s="15">
        <f t="shared" si="38"/>
        <v>0</v>
      </c>
      <c r="BE36" s="15">
        <f t="shared" si="39"/>
        <v>232586</v>
      </c>
      <c r="BG36" s="15" t="e">
        <f t="shared" si="47"/>
        <v>#DIV/0!</v>
      </c>
      <c r="BH36" s="15" t="e">
        <f t="shared" si="13"/>
        <v>#DIV/0!</v>
      </c>
      <c r="BI36" s="15">
        <f t="shared" ca="1" si="46"/>
        <v>0</v>
      </c>
      <c r="BJ36" s="15">
        <f>+SUM(E36:E$40)</f>
        <v>252166</v>
      </c>
      <c r="BK36" s="15">
        <f>+SUM(J36:J$40)+F36</f>
        <v>0</v>
      </c>
      <c r="BL36" s="15">
        <f>+SUM(R36:R$40)+N36</f>
        <v>0</v>
      </c>
      <c r="BM36" s="15">
        <f>+SUM(Z36:Z$40)+V36</f>
        <v>0</v>
      </c>
      <c r="BN36" s="16">
        <f t="shared" si="15"/>
        <v>0</v>
      </c>
      <c r="BO36" s="16">
        <f t="shared" si="16"/>
        <v>0</v>
      </c>
      <c r="BP36" s="16">
        <f t="shared" si="17"/>
        <v>0</v>
      </c>
      <c r="BQ36" s="16">
        <f t="shared" si="40"/>
        <v>1</v>
      </c>
      <c r="BR36" s="16">
        <f t="shared" si="40"/>
        <v>1</v>
      </c>
      <c r="BS36" s="16">
        <f t="shared" si="40"/>
        <v>1</v>
      </c>
      <c r="BT36" s="32" t="e">
        <f t="shared" si="41"/>
        <v>#DIV/0!</v>
      </c>
      <c r="BU36" s="32" t="e">
        <f t="shared" si="41"/>
        <v>#DIV/0!</v>
      </c>
      <c r="BV36" s="32" t="e">
        <f t="shared" si="18"/>
        <v>#DIV/0!</v>
      </c>
      <c r="BW36" s="13">
        <f t="shared" si="42"/>
        <v>45036</v>
      </c>
    </row>
    <row r="37" spans="2:75" x14ac:dyDescent="0.25">
      <c r="B37" s="5">
        <f>Carga!J37</f>
        <v>45066</v>
      </c>
      <c r="C37" s="7">
        <f>Carga!$L37</f>
        <v>0.2969</v>
      </c>
      <c r="E37" s="6">
        <f>Carga!K37</f>
        <v>19580</v>
      </c>
      <c r="F37" s="6">
        <f t="shared" si="19"/>
        <v>0</v>
      </c>
      <c r="G37" s="7">
        <f>+MAX(Carga!$D$8,MIN(Carga!$F$8,Carga!$E$8+$C37))</f>
        <v>0.30690000000000001</v>
      </c>
      <c r="H37" s="6">
        <f t="shared" si="43"/>
        <v>0</v>
      </c>
      <c r="I37" s="6">
        <f t="shared" si="0"/>
        <v>0</v>
      </c>
      <c r="J37" s="6">
        <f>MIN(SUM(H$4:H37)-SUM(J$4:J36),E37)</f>
        <v>0</v>
      </c>
      <c r="K37" s="6">
        <f t="shared" si="20"/>
        <v>0</v>
      </c>
      <c r="M37" s="6">
        <f t="shared" si="1"/>
        <v>19580</v>
      </c>
      <c r="N37" s="6">
        <f t="shared" si="21"/>
        <v>0</v>
      </c>
      <c r="O37" s="7">
        <f>+MAX(Carga!$D$9,MIN(Carga!$F$9,Carga!$E$9+$C37))</f>
        <v>0.32689999999999997</v>
      </c>
      <c r="P37" s="6">
        <f t="shared" si="44"/>
        <v>0</v>
      </c>
      <c r="Q37" s="6">
        <f t="shared" si="2"/>
        <v>0</v>
      </c>
      <c r="R37" s="6">
        <f>MIN(SUM(P$4:P37)-SUM(R$4:R36),M37)</f>
        <v>0</v>
      </c>
      <c r="S37" s="6">
        <f t="shared" si="22"/>
        <v>0</v>
      </c>
      <c r="U37" s="6">
        <f t="shared" si="3"/>
        <v>19580</v>
      </c>
      <c r="V37" s="6">
        <f t="shared" si="23"/>
        <v>0</v>
      </c>
      <c r="W37" s="7">
        <f>+MAX(Carga!$D$10,MIN(Carga!$F$10,Carga!$E$10+$C37))</f>
        <v>0.2969</v>
      </c>
      <c r="X37" s="6">
        <f t="shared" si="45"/>
        <v>0</v>
      </c>
      <c r="Y37" s="6">
        <f t="shared" si="4"/>
        <v>0</v>
      </c>
      <c r="Z37" s="6">
        <f>MIN(SUM(X$4:X37)-SUM(Z$4:Z36),U37)</f>
        <v>0</v>
      </c>
      <c r="AA37" s="6">
        <f t="shared" si="24"/>
        <v>0</v>
      </c>
      <c r="AC37" s="6">
        <f t="shared" si="5"/>
        <v>19580</v>
      </c>
      <c r="AD37" s="6">
        <f t="shared" si="25"/>
        <v>100</v>
      </c>
      <c r="AE37" s="7" t="b">
        <f>IF(MAX(AC38:AC$65)&gt;0,FALSE,TRUE)</f>
        <v>1</v>
      </c>
      <c r="AF37" s="6">
        <f t="shared" si="6"/>
        <v>100</v>
      </c>
      <c r="AG37" s="6">
        <f t="shared" si="7"/>
        <v>19480</v>
      </c>
      <c r="AH37" s="6">
        <f t="shared" si="26"/>
        <v>19580</v>
      </c>
      <c r="AJ37" s="6">
        <f t="shared" si="27"/>
        <v>1005</v>
      </c>
      <c r="AL37" s="6">
        <f t="shared" si="28"/>
        <v>0</v>
      </c>
      <c r="AM37" s="6" t="e">
        <f t="shared" si="8"/>
        <v>#NUM!</v>
      </c>
      <c r="AN37" s="6" t="e">
        <f t="shared" si="29"/>
        <v>#NUM!</v>
      </c>
      <c r="AP37" s="6">
        <f t="shared" si="30"/>
        <v>0</v>
      </c>
      <c r="AQ37" s="6" t="e">
        <f t="shared" si="9"/>
        <v>#NUM!</v>
      </c>
      <c r="AR37" s="6" t="e">
        <f t="shared" si="31"/>
        <v>#NUM!</v>
      </c>
      <c r="AT37" s="6">
        <f t="shared" si="32"/>
        <v>0</v>
      </c>
      <c r="AU37" s="6" t="e">
        <f t="shared" si="10"/>
        <v>#NUM!</v>
      </c>
      <c r="AV37" s="6" t="e">
        <f t="shared" si="33"/>
        <v>#NUM!</v>
      </c>
      <c r="AX37" s="6">
        <f t="shared" si="34"/>
        <v>19580</v>
      </c>
      <c r="AY37" s="6" t="e">
        <f t="shared" si="11"/>
        <v>#NUM!</v>
      </c>
      <c r="AZ37" s="6" t="e">
        <f t="shared" si="35"/>
        <v>#NUM!</v>
      </c>
      <c r="BB37" s="6">
        <f t="shared" si="36"/>
        <v>0</v>
      </c>
      <c r="BC37" s="6">
        <f t="shared" si="37"/>
        <v>0</v>
      </c>
      <c r="BD37" s="6">
        <f t="shared" si="38"/>
        <v>0</v>
      </c>
      <c r="BE37" s="6">
        <f t="shared" si="39"/>
        <v>19580</v>
      </c>
      <c r="BG37" s="6" t="e">
        <f t="shared" si="47"/>
        <v>#DIV/0!</v>
      </c>
      <c r="BH37" s="6" t="e">
        <f t="shared" si="13"/>
        <v>#DIV/0!</v>
      </c>
      <c r="BI37" s="6">
        <f t="shared" ca="1" si="46"/>
        <v>0</v>
      </c>
      <c r="BJ37" s="6">
        <f>+SUM(E37:E$40)</f>
        <v>19580</v>
      </c>
      <c r="BK37" s="6">
        <f>+SUM(J37:J$40)+F37</f>
        <v>0</v>
      </c>
      <c r="BL37" s="6">
        <f>+SUM(R37:R$40)+N37</f>
        <v>0</v>
      </c>
      <c r="BM37" s="6">
        <f>+SUM(Z37:Z$40)+V37</f>
        <v>0</v>
      </c>
      <c r="BN37" s="7">
        <f t="shared" si="15"/>
        <v>0</v>
      </c>
      <c r="BO37" s="7">
        <f t="shared" si="16"/>
        <v>0</v>
      </c>
      <c r="BP37" s="7">
        <f t="shared" si="17"/>
        <v>0</v>
      </c>
      <c r="BQ37" s="7">
        <f t="shared" si="40"/>
        <v>1</v>
      </c>
      <c r="BR37" s="7">
        <f t="shared" si="40"/>
        <v>1</v>
      </c>
      <c r="BS37" s="7">
        <f t="shared" si="40"/>
        <v>1</v>
      </c>
      <c r="BT37" s="31" t="e">
        <f t="shared" si="41"/>
        <v>#DIV/0!</v>
      </c>
      <c r="BU37" s="31" t="e">
        <f t="shared" si="41"/>
        <v>#DIV/0!</v>
      </c>
      <c r="BV37" s="31" t="e">
        <f t="shared" si="18"/>
        <v>#DIV/0!</v>
      </c>
      <c r="BW37" s="5">
        <f t="shared" si="42"/>
        <v>45066</v>
      </c>
    </row>
    <row r="38" spans="2:75" x14ac:dyDescent="0.25">
      <c r="B38" s="13">
        <f>Carga!J38</f>
        <v>0</v>
      </c>
      <c r="C38" s="16">
        <f>Carga!$L38</f>
        <v>0.2969</v>
      </c>
      <c r="E38" s="15">
        <f>Carga!K38</f>
        <v>0</v>
      </c>
      <c r="F38" s="15">
        <f t="shared" si="19"/>
        <v>0</v>
      </c>
      <c r="G38" s="16">
        <f>+MAX(Carga!$D$8,MIN(Carga!$F$8,Carga!$E$8+$C38))</f>
        <v>0.30690000000000001</v>
      </c>
      <c r="H38" s="15">
        <f t="shared" si="43"/>
        <v>0</v>
      </c>
      <c r="I38" s="15">
        <f t="shared" si="0"/>
        <v>0</v>
      </c>
      <c r="J38" s="15">
        <f>MIN(SUM(H$4:H38)-SUM(J$4:J37),E38)</f>
        <v>0</v>
      </c>
      <c r="K38" s="15">
        <f t="shared" si="20"/>
        <v>0</v>
      </c>
      <c r="M38" s="15">
        <f t="shared" si="1"/>
        <v>0</v>
      </c>
      <c r="N38" s="15">
        <f t="shared" si="21"/>
        <v>0</v>
      </c>
      <c r="O38" s="16">
        <f>+MAX(Carga!$D$9,MIN(Carga!$F$9,Carga!$E$9+$C38))</f>
        <v>0.32689999999999997</v>
      </c>
      <c r="P38" s="15">
        <f t="shared" si="44"/>
        <v>0</v>
      </c>
      <c r="Q38" s="15">
        <f t="shared" si="2"/>
        <v>0</v>
      </c>
      <c r="R38" s="15">
        <f>MIN(SUM(P$4:P38)-SUM(R$4:R37),M38)</f>
        <v>0</v>
      </c>
      <c r="S38" s="15">
        <f t="shared" si="22"/>
        <v>0</v>
      </c>
      <c r="U38" s="15">
        <f t="shared" si="3"/>
        <v>0</v>
      </c>
      <c r="V38" s="15">
        <f t="shared" si="23"/>
        <v>0</v>
      </c>
      <c r="W38" s="16">
        <f>+MAX(Carga!$D$10,MIN(Carga!$F$10,Carga!$E$10+$C38))</f>
        <v>0.2969</v>
      </c>
      <c r="X38" s="15">
        <f t="shared" si="45"/>
        <v>0</v>
      </c>
      <c r="Y38" s="15">
        <f t="shared" si="4"/>
        <v>0</v>
      </c>
      <c r="Z38" s="15">
        <f>MIN(SUM(X$4:X38)-SUM(Z$4:Z37),U38)</f>
        <v>0</v>
      </c>
      <c r="AA38" s="15">
        <f t="shared" si="24"/>
        <v>0</v>
      </c>
      <c r="AC38" s="15">
        <f t="shared" si="5"/>
        <v>0</v>
      </c>
      <c r="AD38" s="15">
        <f t="shared" si="25"/>
        <v>0</v>
      </c>
      <c r="AE38" s="14" t="b">
        <f>IF(MAX(AC39:AC$65)&gt;0,FALSE,TRUE)</f>
        <v>1</v>
      </c>
      <c r="AF38" s="15">
        <f t="shared" si="6"/>
        <v>0</v>
      </c>
      <c r="AG38" s="15">
        <f t="shared" si="7"/>
        <v>0</v>
      </c>
      <c r="AH38" s="15">
        <f t="shared" si="26"/>
        <v>0</v>
      </c>
      <c r="AJ38" s="14">
        <f t="shared" si="27"/>
        <v>-44061</v>
      </c>
      <c r="AL38" s="15">
        <f t="shared" si="28"/>
        <v>0</v>
      </c>
      <c r="AM38" s="15" t="e">
        <f t="shared" si="8"/>
        <v>#NUM!</v>
      </c>
      <c r="AN38" s="14" t="e">
        <f t="shared" si="29"/>
        <v>#NUM!</v>
      </c>
      <c r="AP38" s="15">
        <f t="shared" si="30"/>
        <v>0</v>
      </c>
      <c r="AQ38" s="15" t="e">
        <f t="shared" si="9"/>
        <v>#NUM!</v>
      </c>
      <c r="AR38" s="15" t="e">
        <f t="shared" si="31"/>
        <v>#NUM!</v>
      </c>
      <c r="AT38" s="15">
        <f t="shared" si="32"/>
        <v>0</v>
      </c>
      <c r="AU38" s="15" t="e">
        <f t="shared" si="10"/>
        <v>#NUM!</v>
      </c>
      <c r="AV38" s="15" t="e">
        <f t="shared" si="33"/>
        <v>#NUM!</v>
      </c>
      <c r="AX38" s="15">
        <f t="shared" si="34"/>
        <v>0</v>
      </c>
      <c r="AY38" s="15" t="e">
        <f t="shared" si="11"/>
        <v>#NUM!</v>
      </c>
      <c r="AZ38" s="15" t="e">
        <f t="shared" si="35"/>
        <v>#NUM!</v>
      </c>
      <c r="BB38" s="15">
        <f t="shared" si="36"/>
        <v>0</v>
      </c>
      <c r="BC38" s="15">
        <f t="shared" si="37"/>
        <v>0</v>
      </c>
      <c r="BD38" s="15">
        <f t="shared" si="38"/>
        <v>0</v>
      </c>
      <c r="BE38" s="15">
        <f t="shared" si="39"/>
        <v>0</v>
      </c>
      <c r="BG38" s="15" t="e">
        <f t="shared" si="47"/>
        <v>#DIV/0!</v>
      </c>
      <c r="BH38" s="15" t="e">
        <f t="shared" si="13"/>
        <v>#DIV/0!</v>
      </c>
      <c r="BI38" s="15">
        <f t="shared" ca="1" si="46"/>
        <v>0</v>
      </c>
      <c r="BJ38" s="15">
        <f>+SUM(E38:E$40)</f>
        <v>0</v>
      </c>
      <c r="BK38" s="15">
        <f>+SUM(J38:J$40)+F38</f>
        <v>0</v>
      </c>
      <c r="BL38" s="15">
        <f>+SUM(R38:R$40)+N38</f>
        <v>0</v>
      </c>
      <c r="BM38" s="15">
        <f>+SUM(Z38:Z$40)+V38</f>
        <v>0</v>
      </c>
      <c r="BN38" s="16" t="e">
        <f t="shared" si="15"/>
        <v>#DIV/0!</v>
      </c>
      <c r="BO38" s="16" t="e">
        <f t="shared" si="16"/>
        <v>#DIV/0!</v>
      </c>
      <c r="BP38" s="16" t="e">
        <f t="shared" si="17"/>
        <v>#DIV/0!</v>
      </c>
      <c r="BQ38" s="16" t="e">
        <f t="shared" si="40"/>
        <v>#DIV/0!</v>
      </c>
      <c r="BR38" s="16" t="e">
        <f t="shared" si="40"/>
        <v>#DIV/0!</v>
      </c>
      <c r="BS38" s="16" t="e">
        <f t="shared" si="40"/>
        <v>#DIV/0!</v>
      </c>
      <c r="BT38" s="32" t="e">
        <f t="shared" si="41"/>
        <v>#DIV/0!</v>
      </c>
      <c r="BU38" s="32" t="e">
        <f t="shared" si="41"/>
        <v>#DIV/0!</v>
      </c>
      <c r="BV38" s="32" t="e">
        <f t="shared" si="18"/>
        <v>#DIV/0!</v>
      </c>
      <c r="BW38" s="13">
        <f t="shared" si="42"/>
        <v>0</v>
      </c>
    </row>
    <row r="39" spans="2:75" x14ac:dyDescent="0.25">
      <c r="B39" s="5">
        <f>Carga!J39</f>
        <v>0</v>
      </c>
      <c r="C39" s="7">
        <f>Carga!$L39</f>
        <v>0.2969</v>
      </c>
      <c r="E39" s="6">
        <f>Carga!K39</f>
        <v>0</v>
      </c>
      <c r="F39" s="6">
        <f t="shared" si="19"/>
        <v>0</v>
      </c>
      <c r="G39" s="7">
        <f>+MAX(Carga!$D$8,MIN(Carga!$F$8,Carga!$E$8+$C39))</f>
        <v>0.30690000000000001</v>
      </c>
      <c r="H39" s="6">
        <f t="shared" si="43"/>
        <v>0</v>
      </c>
      <c r="I39" s="6">
        <f t="shared" si="0"/>
        <v>0</v>
      </c>
      <c r="J39" s="6">
        <f>MIN(SUM(H$4:H39)-SUM(J$4:J38),E39)</f>
        <v>0</v>
      </c>
      <c r="K39" s="6">
        <f t="shared" si="20"/>
        <v>0</v>
      </c>
      <c r="M39" s="6">
        <f t="shared" si="1"/>
        <v>0</v>
      </c>
      <c r="N39" s="6">
        <f t="shared" si="21"/>
        <v>0</v>
      </c>
      <c r="O39" s="7">
        <f>+MAX(Carga!$D$9,MIN(Carga!$F$9,Carga!$E$9+$C39))</f>
        <v>0.32689999999999997</v>
      </c>
      <c r="P39" s="6">
        <f t="shared" si="44"/>
        <v>0</v>
      </c>
      <c r="Q39" s="6">
        <f t="shared" si="2"/>
        <v>0</v>
      </c>
      <c r="R39" s="6">
        <f>MIN(SUM(P$4:P39)-SUM(R$4:R38),M39)</f>
        <v>0</v>
      </c>
      <c r="S39" s="6">
        <f t="shared" si="22"/>
        <v>0</v>
      </c>
      <c r="U39" s="6">
        <f t="shared" si="3"/>
        <v>0</v>
      </c>
      <c r="V39" s="6">
        <f t="shared" si="23"/>
        <v>0</v>
      </c>
      <c r="W39" s="7">
        <f>+MAX(Carga!$D$10,MIN(Carga!$F$10,Carga!$E$10+$C39))</f>
        <v>0.2969</v>
      </c>
      <c r="X39" s="6">
        <f t="shared" si="45"/>
        <v>0</v>
      </c>
      <c r="Y39" s="6">
        <f t="shared" si="4"/>
        <v>0</v>
      </c>
      <c r="Z39" s="6">
        <f>MIN(SUM(X$4:X39)-SUM(Z$4:Z38),U39)</f>
        <v>0</v>
      </c>
      <c r="AA39" s="6">
        <f t="shared" si="24"/>
        <v>0</v>
      </c>
      <c r="AC39" s="6">
        <f t="shared" si="5"/>
        <v>0</v>
      </c>
      <c r="AD39" s="6">
        <f t="shared" si="25"/>
        <v>0</v>
      </c>
      <c r="AE39" s="7" t="b">
        <f>IF(MAX(AC40:AC$65)&gt;0,FALSE,TRUE)</f>
        <v>1</v>
      </c>
      <c r="AF39" s="6">
        <f t="shared" si="6"/>
        <v>0</v>
      </c>
      <c r="AG39" s="6">
        <f t="shared" si="7"/>
        <v>0</v>
      </c>
      <c r="AH39" s="6">
        <f t="shared" si="26"/>
        <v>0</v>
      </c>
      <c r="AJ39" s="6">
        <f t="shared" si="27"/>
        <v>-44061</v>
      </c>
      <c r="AL39" s="6">
        <f t="shared" si="28"/>
        <v>0</v>
      </c>
      <c r="AM39" s="6" t="e">
        <f t="shared" si="8"/>
        <v>#NUM!</v>
      </c>
      <c r="AN39" s="6" t="e">
        <f t="shared" si="29"/>
        <v>#NUM!</v>
      </c>
      <c r="AP39" s="6">
        <f t="shared" si="30"/>
        <v>0</v>
      </c>
      <c r="AQ39" s="6" t="e">
        <f t="shared" si="9"/>
        <v>#NUM!</v>
      </c>
      <c r="AR39" s="6" t="e">
        <f t="shared" si="31"/>
        <v>#NUM!</v>
      </c>
      <c r="AT39" s="6">
        <f t="shared" si="32"/>
        <v>0</v>
      </c>
      <c r="AU39" s="6" t="e">
        <f t="shared" si="10"/>
        <v>#NUM!</v>
      </c>
      <c r="AV39" s="6" t="e">
        <f t="shared" si="33"/>
        <v>#NUM!</v>
      </c>
      <c r="AX39" s="6">
        <f t="shared" si="34"/>
        <v>0</v>
      </c>
      <c r="AY39" s="6" t="e">
        <f t="shared" si="11"/>
        <v>#NUM!</v>
      </c>
      <c r="AZ39" s="6" t="e">
        <f t="shared" si="35"/>
        <v>#NUM!</v>
      </c>
      <c r="BB39" s="6">
        <f t="shared" si="36"/>
        <v>0</v>
      </c>
      <c r="BC39" s="6">
        <f t="shared" si="37"/>
        <v>0</v>
      </c>
      <c r="BD39" s="6">
        <f t="shared" si="38"/>
        <v>0</v>
      </c>
      <c r="BE39" s="6">
        <f t="shared" si="39"/>
        <v>0</v>
      </c>
      <c r="BG39" s="6" t="e">
        <f t="shared" si="47"/>
        <v>#DIV/0!</v>
      </c>
      <c r="BH39" s="6" t="e">
        <f t="shared" si="13"/>
        <v>#DIV/0!</v>
      </c>
      <c r="BI39" s="6">
        <f t="shared" ca="1" si="46"/>
        <v>0</v>
      </c>
      <c r="BJ39" s="6">
        <f>+SUM(E39:E$40)</f>
        <v>0</v>
      </c>
      <c r="BK39" s="6">
        <f>+SUM(J39:J$40)+F39</f>
        <v>0</v>
      </c>
      <c r="BL39" s="6">
        <f>+SUM(R39:R$40)+N39</f>
        <v>0</v>
      </c>
      <c r="BM39" s="6">
        <f>+SUM(Z39:Z$40)+V39</f>
        <v>0</v>
      </c>
      <c r="BN39" s="7" t="e">
        <f t="shared" si="15"/>
        <v>#DIV/0!</v>
      </c>
      <c r="BO39" s="7" t="e">
        <f t="shared" si="16"/>
        <v>#DIV/0!</v>
      </c>
      <c r="BP39" s="7" t="e">
        <f t="shared" si="17"/>
        <v>#DIV/0!</v>
      </c>
      <c r="BQ39" s="7" t="e">
        <f t="shared" si="40"/>
        <v>#DIV/0!</v>
      </c>
      <c r="BR39" s="7" t="e">
        <f t="shared" si="40"/>
        <v>#DIV/0!</v>
      </c>
      <c r="BS39" s="7" t="e">
        <f t="shared" si="40"/>
        <v>#DIV/0!</v>
      </c>
      <c r="BT39" s="31" t="e">
        <f t="shared" si="41"/>
        <v>#DIV/0!</v>
      </c>
      <c r="BU39" s="31" t="e">
        <f t="shared" si="41"/>
        <v>#DIV/0!</v>
      </c>
      <c r="BV39" s="31" t="e">
        <f t="shared" si="18"/>
        <v>#DIV/0!</v>
      </c>
      <c r="BW39" s="5">
        <f t="shared" si="42"/>
        <v>0</v>
      </c>
    </row>
    <row r="40" spans="2:75" x14ac:dyDescent="0.25">
      <c r="B40" s="13">
        <f>Carga!J40</f>
        <v>0</v>
      </c>
      <c r="C40" s="16">
        <f>Carga!$L40</f>
        <v>0.2969</v>
      </c>
      <c r="E40" s="15">
        <f>Carga!K40</f>
        <v>0</v>
      </c>
      <c r="F40" s="15">
        <f t="shared" si="19"/>
        <v>0</v>
      </c>
      <c r="G40" s="16">
        <f>+MAX(Carga!$D$8,MIN(Carga!$F$8,Carga!$E$8+$C40))</f>
        <v>0.30690000000000001</v>
      </c>
      <c r="H40" s="15">
        <f t="shared" si="43"/>
        <v>0</v>
      </c>
      <c r="I40" s="15">
        <f t="shared" si="0"/>
        <v>0</v>
      </c>
      <c r="J40" s="15">
        <f>MIN(SUM(H$4:H40)-SUM(J$4:J39),E40)</f>
        <v>0</v>
      </c>
      <c r="K40" s="15">
        <f t="shared" si="20"/>
        <v>0</v>
      </c>
      <c r="M40" s="15">
        <f t="shared" si="1"/>
        <v>0</v>
      </c>
      <c r="N40" s="15">
        <f t="shared" si="21"/>
        <v>0</v>
      </c>
      <c r="O40" s="16">
        <f>+MAX(Carga!$D$9,MIN(Carga!$F$9,Carga!$E$9+$C40))</f>
        <v>0.32689999999999997</v>
      </c>
      <c r="P40" s="15">
        <f t="shared" si="44"/>
        <v>0</v>
      </c>
      <c r="Q40" s="15">
        <f t="shared" si="2"/>
        <v>0</v>
      </c>
      <c r="R40" s="15">
        <f>MIN(SUM(P$4:P40)-SUM(R$4:R39),M40)</f>
        <v>0</v>
      </c>
      <c r="S40" s="15">
        <f t="shared" si="22"/>
        <v>0</v>
      </c>
      <c r="U40" s="15">
        <f t="shared" si="3"/>
        <v>0</v>
      </c>
      <c r="V40" s="15">
        <f t="shared" si="23"/>
        <v>0</v>
      </c>
      <c r="W40" s="16">
        <f>+MAX(Carga!$D$10,MIN(Carga!$F$10,Carga!$E$10+$C40))</f>
        <v>0.2969</v>
      </c>
      <c r="X40" s="15">
        <f t="shared" si="45"/>
        <v>0</v>
      </c>
      <c r="Y40" s="15">
        <f t="shared" si="4"/>
        <v>0</v>
      </c>
      <c r="Z40" s="15">
        <f>MIN(SUM(X$4:X40)-SUM(Z$4:Z39),U40)</f>
        <v>0</v>
      </c>
      <c r="AA40" s="15">
        <f t="shared" si="24"/>
        <v>0</v>
      </c>
      <c r="AC40" s="15">
        <f t="shared" si="5"/>
        <v>0</v>
      </c>
      <c r="AD40" s="15">
        <f t="shared" si="25"/>
        <v>0</v>
      </c>
      <c r="AE40" s="14" t="b">
        <f>IF(MAX(AC41:AC$65)&gt;0,FALSE,TRUE)</f>
        <v>1</v>
      </c>
      <c r="AF40" s="15">
        <f t="shared" si="6"/>
        <v>0</v>
      </c>
      <c r="AG40" s="15">
        <f t="shared" si="7"/>
        <v>0</v>
      </c>
      <c r="AH40" s="15">
        <f t="shared" si="26"/>
        <v>0</v>
      </c>
      <c r="AJ40" s="14">
        <f t="shared" si="27"/>
        <v>-44061</v>
      </c>
      <c r="AL40" s="15">
        <f t="shared" si="28"/>
        <v>0</v>
      </c>
      <c r="AM40" s="15" t="e">
        <f t="shared" si="8"/>
        <v>#NUM!</v>
      </c>
      <c r="AN40" s="14" t="e">
        <f t="shared" si="29"/>
        <v>#NUM!</v>
      </c>
      <c r="AP40" s="15">
        <f t="shared" si="30"/>
        <v>0</v>
      </c>
      <c r="AQ40" s="15" t="e">
        <f t="shared" si="9"/>
        <v>#NUM!</v>
      </c>
      <c r="AR40" s="15" t="e">
        <f t="shared" si="31"/>
        <v>#NUM!</v>
      </c>
      <c r="AT40" s="15">
        <f t="shared" si="32"/>
        <v>0</v>
      </c>
      <c r="AU40" s="15" t="e">
        <f t="shared" si="10"/>
        <v>#NUM!</v>
      </c>
      <c r="AV40" s="15" t="e">
        <f t="shared" si="33"/>
        <v>#NUM!</v>
      </c>
      <c r="AX40" s="15">
        <f t="shared" si="34"/>
        <v>0</v>
      </c>
      <c r="AY40" s="15" t="e">
        <f t="shared" si="11"/>
        <v>#NUM!</v>
      </c>
      <c r="AZ40" s="15" t="e">
        <f t="shared" si="35"/>
        <v>#NUM!</v>
      </c>
      <c r="BB40" s="15">
        <f t="shared" si="36"/>
        <v>0</v>
      </c>
      <c r="BC40" s="15">
        <f t="shared" si="37"/>
        <v>0</v>
      </c>
      <c r="BD40" s="15">
        <f t="shared" si="38"/>
        <v>0</v>
      </c>
      <c r="BE40" s="15">
        <f t="shared" si="39"/>
        <v>0</v>
      </c>
      <c r="BG40" s="15" t="e">
        <f t="shared" si="47"/>
        <v>#DIV/0!</v>
      </c>
      <c r="BH40" s="15" t="e">
        <f t="shared" si="13"/>
        <v>#DIV/0!</v>
      </c>
      <c r="BI40" s="15">
        <f t="shared" ca="1" si="46"/>
        <v>0</v>
      </c>
      <c r="BJ40" s="15">
        <f>+SUM(E40:E$40)</f>
        <v>0</v>
      </c>
      <c r="BK40" s="15">
        <f>+SUM(J40:J$40)+F40</f>
        <v>0</v>
      </c>
      <c r="BL40" s="15">
        <f>+SUM(R40:R$40)+N40</f>
        <v>0</v>
      </c>
      <c r="BM40" s="15">
        <f>+SUM(Z40:Z$40)+V40</f>
        <v>0</v>
      </c>
      <c r="BN40" s="16" t="e">
        <f t="shared" si="15"/>
        <v>#DIV/0!</v>
      </c>
      <c r="BO40" s="16" t="e">
        <f t="shared" si="16"/>
        <v>#DIV/0!</v>
      </c>
      <c r="BP40" s="16" t="e">
        <f t="shared" si="17"/>
        <v>#DIV/0!</v>
      </c>
      <c r="BQ40" s="16" t="e">
        <f t="shared" si="40"/>
        <v>#DIV/0!</v>
      </c>
      <c r="BR40" s="16" t="e">
        <f t="shared" si="40"/>
        <v>#DIV/0!</v>
      </c>
      <c r="BS40" s="16" t="e">
        <f t="shared" si="40"/>
        <v>#DIV/0!</v>
      </c>
      <c r="BT40" s="32" t="e">
        <f t="shared" si="41"/>
        <v>#DIV/0!</v>
      </c>
      <c r="BU40" s="32" t="e">
        <f t="shared" si="41"/>
        <v>#DIV/0!</v>
      </c>
      <c r="BV40" s="32" t="e">
        <f t="shared" si="18"/>
        <v>#DIV/0!</v>
      </c>
      <c r="BW40" s="13">
        <f t="shared" si="42"/>
        <v>0</v>
      </c>
    </row>
    <row r="41" spans="2:75" x14ac:dyDescent="0.25">
      <c r="B41" s="5">
        <f>Carga!J41</f>
        <v>0</v>
      </c>
      <c r="C41" s="7">
        <f>Carga!$L41</f>
        <v>0.2969</v>
      </c>
      <c r="E41" s="6">
        <f>Carga!K41</f>
        <v>0</v>
      </c>
      <c r="F41" s="6">
        <f t="shared" ref="F41:F44" si="48">SUM(F40,-I40)</f>
        <v>0</v>
      </c>
      <c r="G41" s="7">
        <f>+MAX(Carga!$D$8,MIN(Carga!$F$8,Carga!$E$8+$C41))</f>
        <v>0.30690000000000001</v>
      </c>
      <c r="H41" s="6">
        <f t="shared" ref="H41:H44" si="49">F41*G41/12</f>
        <v>0</v>
      </c>
      <c r="I41" s="6">
        <f t="shared" ref="I41:I44" si="50">MIN(E41-J41,F41)</f>
        <v>0</v>
      </c>
      <c r="J41" s="6">
        <f>MIN(SUM(H$4:H41)-SUM(J$4:J40),E41)</f>
        <v>0</v>
      </c>
      <c r="K41" s="6">
        <f t="shared" ref="K41:K44" si="51">SUM(I41:J41)</f>
        <v>0</v>
      </c>
      <c r="M41" s="6">
        <f t="shared" ref="M41:M44" si="52">MAX(E41-K41,0)</f>
        <v>0</v>
      </c>
      <c r="N41" s="6">
        <f t="shared" ref="N41:N44" si="53">SUM(N40,-Q40)</f>
        <v>0</v>
      </c>
      <c r="O41" s="7">
        <f>+MAX(Carga!$D$9,MIN(Carga!$F$9,Carga!$E$9+$C41))</f>
        <v>0.32689999999999997</v>
      </c>
      <c r="P41" s="6">
        <f t="shared" ref="P41:P44" si="54">N41*O41/12</f>
        <v>0</v>
      </c>
      <c r="Q41" s="6">
        <f t="shared" ref="Q41:Q44" si="55">MIN(M41-R41,N41)</f>
        <v>0</v>
      </c>
      <c r="R41" s="6">
        <f>MIN(SUM(P$4:P41)-SUM(R$4:R40),M41)</f>
        <v>0</v>
      </c>
      <c r="S41" s="6">
        <f t="shared" ref="S41:S44" si="56">SUM(Q41:R41)</f>
        <v>0</v>
      </c>
      <c r="U41" s="6">
        <f t="shared" ref="U41:U44" si="57">MAX(M41-S41,0)</f>
        <v>0</v>
      </c>
      <c r="V41" s="6">
        <f t="shared" ref="V41:V44" si="58">SUM(V40,-Y40)</f>
        <v>0</v>
      </c>
      <c r="W41" s="7">
        <f>+MAX(Carga!$D$10,MIN(Carga!$F$10,Carga!$E$10+$C41))</f>
        <v>0.2969</v>
      </c>
      <c r="X41" s="6">
        <f t="shared" ref="X41:X44" si="59">V41*W41/12</f>
        <v>0</v>
      </c>
      <c r="Y41" s="6">
        <f t="shared" ref="Y41:Y44" si="60">MIN(U41-Z41,V41)</f>
        <v>0</v>
      </c>
      <c r="Z41" s="6">
        <f>MIN(SUM(X$4:X41)-SUM(Z$4:Z40),U41)</f>
        <v>0</v>
      </c>
      <c r="AA41" s="6">
        <f t="shared" ref="AA41:AA44" si="61">SUM(Y41:Z41)</f>
        <v>0</v>
      </c>
      <c r="AC41" s="6">
        <f t="shared" ref="AC41:AC44" si="62">MAX(U41-AA41,0)</f>
        <v>0</v>
      </c>
      <c r="AD41" s="6">
        <f t="shared" ref="AD41:AD44" si="63">SUM(AD40,-AF40)</f>
        <v>0</v>
      </c>
      <c r="AE41" s="7" t="b">
        <f>IF(MAX(AC42:AC$65)&gt;0,FALSE,TRUE)</f>
        <v>1</v>
      </c>
      <c r="AF41" s="6">
        <f t="shared" ref="AF41:AF44" si="64">IF(AE41,MIN(AC41,AD41),MIN(AC41,AD41-100))</f>
        <v>0</v>
      </c>
      <c r="AG41" s="6">
        <f t="shared" ref="AG41:AG44" si="65">MAX(AC41-AF41,0)</f>
        <v>0</v>
      </c>
      <c r="AH41" s="6">
        <f t="shared" ref="AH41:AH44" si="66">SUM(AF41:AG41)</f>
        <v>0</v>
      </c>
      <c r="AJ41" s="6">
        <f t="shared" ref="AJ41:AJ44" si="67">B41-B$4</f>
        <v>-44061</v>
      </c>
      <c r="AL41" s="6">
        <f t="shared" ref="AL41:AL44" si="68">K41</f>
        <v>0</v>
      </c>
      <c r="AM41" s="6" t="e">
        <f t="shared" ref="AM41:AM44" si="69">AL41/((1+AL$66)^($AJ41/365))</f>
        <v>#NUM!</v>
      </c>
      <c r="AN41" s="6" t="e">
        <f t="shared" ref="AN41:AN44" si="70">$AJ41*AM41/-AL$4</f>
        <v>#NUM!</v>
      </c>
      <c r="AP41" s="6">
        <f t="shared" ref="AP41:AP44" si="71">S41</f>
        <v>0</v>
      </c>
      <c r="AQ41" s="6" t="e">
        <f t="shared" ref="AQ41:AQ44" si="72">AP41/((1+AP$66)^($AJ41/365))</f>
        <v>#NUM!</v>
      </c>
      <c r="AR41" s="6" t="e">
        <f t="shared" ref="AR41:AR44" si="73">$AJ41*AQ41/-AP$4</f>
        <v>#NUM!</v>
      </c>
      <c r="AT41" s="6">
        <f t="shared" ref="AT41:AT44" si="74">AA41</f>
        <v>0</v>
      </c>
      <c r="AU41" s="6" t="e">
        <f t="shared" ref="AU41:AU44" si="75">AT41/((1+AT$66)^($AJ41/365))</f>
        <v>#NUM!</v>
      </c>
      <c r="AV41" s="6" t="e">
        <f t="shared" ref="AV41:AV44" si="76">$AJ41*AU41/-AT$4</f>
        <v>#NUM!</v>
      </c>
      <c r="AX41" s="6">
        <f t="shared" ref="AX41:AX44" si="77">AH41</f>
        <v>0</v>
      </c>
      <c r="AY41" s="6" t="e">
        <f t="shared" ref="AY41:AY44" si="78">AX41/((1+AX$66)^($AJ41/365))</f>
        <v>#NUM!</v>
      </c>
      <c r="AZ41" s="6" t="e">
        <f t="shared" ref="AZ41:AZ44" si="79">$AJ41*AY41/-AX$4</f>
        <v>#NUM!</v>
      </c>
      <c r="BB41" s="6">
        <f t="shared" ref="BB41:BB44" si="80">K41</f>
        <v>0</v>
      </c>
      <c r="BC41" s="6">
        <f t="shared" ref="BC41:BC44" si="81">S41</f>
        <v>0</v>
      </c>
      <c r="BD41" s="6">
        <f t="shared" ref="BD41:BD44" si="82">AA41</f>
        <v>0</v>
      </c>
      <c r="BE41" s="6">
        <f t="shared" ref="BE41:BE44" si="83">AH41</f>
        <v>0</v>
      </c>
      <c r="BG41" s="6" t="e">
        <f t="shared" ref="BG41" si="84">+IF(AND(BU41&gt;=BT$5,BU40&lt;BT$5),1,0)</f>
        <v>#DIV/0!</v>
      </c>
      <c r="BH41" s="6" t="e">
        <f t="shared" ref="BH41" si="85">+IF(AND(BV41&gt;=BT$5,BV40&lt;BT$5),1,0)</f>
        <v>#DIV/0!</v>
      </c>
      <c r="BI41" s="6">
        <f t="shared" ref="BI41" ca="1" si="86">+IF(AND(TODAY()&gt;B40,TODAY()&lt;=B41),1,0)</f>
        <v>0</v>
      </c>
      <c r="BJ41" s="6">
        <f>+SUM(E$40:E41)</f>
        <v>0</v>
      </c>
      <c r="BK41" s="6">
        <f>+SUM(J$40:J41)+F41</f>
        <v>0</v>
      </c>
      <c r="BL41" s="6">
        <f>+SUM(R$40:R41)+N41</f>
        <v>0</v>
      </c>
      <c r="BM41" s="6">
        <f>+SUM(Z$40:Z41)+V41</f>
        <v>0</v>
      </c>
      <c r="BN41" s="7" t="e">
        <f t="shared" ref="BN41" si="87">+BK41/$BJ41</f>
        <v>#DIV/0!</v>
      </c>
      <c r="BO41" s="7" t="e">
        <f t="shared" ref="BO41" si="88">(BK41+BL41)/$BJ41</f>
        <v>#DIV/0!</v>
      </c>
      <c r="BP41" s="7" t="e">
        <f t="shared" ref="BP41" si="89">(BK41+BL41+BM41)/$BJ41</f>
        <v>#DIV/0!</v>
      </c>
      <c r="BQ41" s="7" t="e">
        <f t="shared" ref="BQ41" si="90">+(1-BN41)</f>
        <v>#DIV/0!</v>
      </c>
      <c r="BR41" s="7" t="e">
        <f t="shared" ref="BR41" si="91">+(1-BO41)</f>
        <v>#DIV/0!</v>
      </c>
      <c r="BS41" s="7" t="e">
        <f t="shared" ref="BS41" si="92">+(1-BP41)</f>
        <v>#DIV/0!</v>
      </c>
      <c r="BT41" s="31" t="e">
        <f t="shared" ref="BT41" si="93">ROUND(1/BN41,2)</f>
        <v>#DIV/0!</v>
      </c>
      <c r="BU41" s="31" t="e">
        <f t="shared" ref="BU41" si="94">ROUND(1/BO41,2)</f>
        <v>#DIV/0!</v>
      </c>
      <c r="BV41" s="31" t="e">
        <f t="shared" ref="BV41" si="95">ROUND(1/BP41,2)</f>
        <v>#DIV/0!</v>
      </c>
      <c r="BW41" s="5">
        <f t="shared" ref="BW41" si="96">+B41</f>
        <v>0</v>
      </c>
    </row>
    <row r="42" spans="2:75" x14ac:dyDescent="0.25">
      <c r="B42" s="13">
        <f>Carga!J42</f>
        <v>0</v>
      </c>
      <c r="C42" s="16">
        <f>Carga!$L42</f>
        <v>0.2969</v>
      </c>
      <c r="E42" s="15">
        <f>Carga!K42</f>
        <v>0</v>
      </c>
      <c r="F42" s="15">
        <f t="shared" si="48"/>
        <v>0</v>
      </c>
      <c r="G42" s="16">
        <f>+MAX(Carga!$D$8,MIN(Carga!$F$8,Carga!$E$8+$C42))</f>
        <v>0.30690000000000001</v>
      </c>
      <c r="H42" s="15">
        <f t="shared" si="49"/>
        <v>0</v>
      </c>
      <c r="I42" s="15">
        <f t="shared" si="50"/>
        <v>0</v>
      </c>
      <c r="J42" s="15">
        <f>MIN(SUM(H$4:H42)-SUM(J$4:J41),E42)</f>
        <v>0</v>
      </c>
      <c r="K42" s="15">
        <f t="shared" si="51"/>
        <v>0</v>
      </c>
      <c r="M42" s="15">
        <f t="shared" si="52"/>
        <v>0</v>
      </c>
      <c r="N42" s="15">
        <f t="shared" si="53"/>
        <v>0</v>
      </c>
      <c r="O42" s="16">
        <f>+MAX(Carga!$D$9,MIN(Carga!$F$9,Carga!$E$9+$C42))</f>
        <v>0.32689999999999997</v>
      </c>
      <c r="P42" s="15">
        <f t="shared" si="54"/>
        <v>0</v>
      </c>
      <c r="Q42" s="15">
        <f t="shared" si="55"/>
        <v>0</v>
      </c>
      <c r="R42" s="15">
        <f>MIN(SUM(P$4:P42)-SUM(R$4:R41),M42)</f>
        <v>0</v>
      </c>
      <c r="S42" s="15">
        <f t="shared" si="56"/>
        <v>0</v>
      </c>
      <c r="U42" s="15">
        <f t="shared" si="57"/>
        <v>0</v>
      </c>
      <c r="V42" s="15">
        <f t="shared" si="58"/>
        <v>0</v>
      </c>
      <c r="W42" s="16">
        <f>+MAX(Carga!$D$10,MIN(Carga!$F$10,Carga!$E$10+$C42))</f>
        <v>0.2969</v>
      </c>
      <c r="X42" s="15">
        <f t="shared" si="59"/>
        <v>0</v>
      </c>
      <c r="Y42" s="15">
        <f t="shared" si="60"/>
        <v>0</v>
      </c>
      <c r="Z42" s="15">
        <f>MIN(SUM(X$4:X42)-SUM(Z$4:Z41),U42)</f>
        <v>0</v>
      </c>
      <c r="AA42" s="15">
        <f t="shared" si="61"/>
        <v>0</v>
      </c>
      <c r="AC42" s="15">
        <f t="shared" si="62"/>
        <v>0</v>
      </c>
      <c r="AD42" s="15">
        <f t="shared" si="63"/>
        <v>0</v>
      </c>
      <c r="AE42" s="14" t="b">
        <f>IF(MAX(AC43:AC$65)&gt;0,FALSE,TRUE)</f>
        <v>1</v>
      </c>
      <c r="AF42" s="15">
        <f t="shared" si="64"/>
        <v>0</v>
      </c>
      <c r="AG42" s="15">
        <f t="shared" si="65"/>
        <v>0</v>
      </c>
      <c r="AH42" s="15">
        <f t="shared" si="66"/>
        <v>0</v>
      </c>
      <c r="AJ42" s="14">
        <f t="shared" si="67"/>
        <v>-44061</v>
      </c>
      <c r="AL42" s="15">
        <f t="shared" si="68"/>
        <v>0</v>
      </c>
      <c r="AM42" s="15" t="e">
        <f t="shared" si="69"/>
        <v>#NUM!</v>
      </c>
      <c r="AN42" s="14" t="e">
        <f t="shared" si="70"/>
        <v>#NUM!</v>
      </c>
      <c r="AP42" s="15">
        <f t="shared" si="71"/>
        <v>0</v>
      </c>
      <c r="AQ42" s="15" t="e">
        <f t="shared" si="72"/>
        <v>#NUM!</v>
      </c>
      <c r="AR42" s="15" t="e">
        <f t="shared" si="73"/>
        <v>#NUM!</v>
      </c>
      <c r="AT42" s="15">
        <f t="shared" si="74"/>
        <v>0</v>
      </c>
      <c r="AU42" s="15" t="e">
        <f t="shared" si="75"/>
        <v>#NUM!</v>
      </c>
      <c r="AV42" s="15" t="e">
        <f t="shared" si="76"/>
        <v>#NUM!</v>
      </c>
      <c r="AX42" s="15">
        <f t="shared" si="77"/>
        <v>0</v>
      </c>
      <c r="AY42" s="15" t="e">
        <f t="shared" si="78"/>
        <v>#NUM!</v>
      </c>
      <c r="AZ42" s="15" t="e">
        <f t="shared" si="79"/>
        <v>#NUM!</v>
      </c>
      <c r="BB42" s="15">
        <f t="shared" si="80"/>
        <v>0</v>
      </c>
      <c r="BC42" s="15">
        <f t="shared" si="81"/>
        <v>0</v>
      </c>
      <c r="BD42" s="15">
        <f t="shared" si="82"/>
        <v>0</v>
      </c>
      <c r="BE42" s="15">
        <f t="shared" si="83"/>
        <v>0</v>
      </c>
      <c r="BG42" s="15" t="e">
        <f t="shared" ref="BG42:BG44" si="97">+IF(AND(BU42&gt;=BT$5,BU41&lt;BT$5),1,0)</f>
        <v>#DIV/0!</v>
      </c>
      <c r="BH42" s="15" t="e">
        <f t="shared" ref="BH42:BH44" si="98">+IF(AND(BV42&gt;=BT$5,BV41&lt;BT$5),1,0)</f>
        <v>#DIV/0!</v>
      </c>
      <c r="BI42" s="15">
        <f t="shared" ref="BI42:BI44" ca="1" si="99">+IF(AND(TODAY()&gt;B41,TODAY()&lt;=B42),1,0)</f>
        <v>0</v>
      </c>
      <c r="BJ42" s="15">
        <f>+SUM(E$40:E42)</f>
        <v>0</v>
      </c>
      <c r="BK42" s="15">
        <f>+SUM(J$40:J42)+F42</f>
        <v>0</v>
      </c>
      <c r="BL42" s="15">
        <f>+SUM(R$40:R42)+N42</f>
        <v>0</v>
      </c>
      <c r="BM42" s="15">
        <f>+SUM(Z$40:Z42)+V42</f>
        <v>0</v>
      </c>
      <c r="BN42" s="16" t="e">
        <f t="shared" ref="BN42:BN44" si="100">+BK42/$BJ42</f>
        <v>#DIV/0!</v>
      </c>
      <c r="BO42" s="16" t="e">
        <f t="shared" ref="BO42:BO44" si="101">(BK42+BL42)/$BJ42</f>
        <v>#DIV/0!</v>
      </c>
      <c r="BP42" s="16" t="e">
        <f t="shared" ref="BP42:BP44" si="102">(BK42+BL42+BM42)/$BJ42</f>
        <v>#DIV/0!</v>
      </c>
      <c r="BQ42" s="16" t="e">
        <f t="shared" ref="BQ42:BQ44" si="103">+(1-BN42)</f>
        <v>#DIV/0!</v>
      </c>
      <c r="BR42" s="16" t="e">
        <f t="shared" ref="BR42:BR44" si="104">+(1-BO42)</f>
        <v>#DIV/0!</v>
      </c>
      <c r="BS42" s="16" t="e">
        <f t="shared" ref="BS42:BS44" si="105">+(1-BP42)</f>
        <v>#DIV/0!</v>
      </c>
      <c r="BT42" s="32" t="e">
        <f t="shared" ref="BT42:BT44" si="106">ROUND(1/BN42,2)</f>
        <v>#DIV/0!</v>
      </c>
      <c r="BU42" s="32" t="e">
        <f t="shared" ref="BU42:BU44" si="107">ROUND(1/BO42,2)</f>
        <v>#DIV/0!</v>
      </c>
      <c r="BV42" s="32" t="e">
        <f t="shared" ref="BV42:BV44" si="108">ROUND(1/BP42,2)</f>
        <v>#DIV/0!</v>
      </c>
      <c r="BW42" s="13">
        <f t="shared" ref="BW42:BW44" si="109">+B42</f>
        <v>0</v>
      </c>
    </row>
    <row r="43" spans="2:75" x14ac:dyDescent="0.25">
      <c r="B43" s="5">
        <f>Carga!J43</f>
        <v>0</v>
      </c>
      <c r="C43" s="7">
        <f>Carga!$L43</f>
        <v>0.2969</v>
      </c>
      <c r="E43" s="6">
        <f>Carga!K43</f>
        <v>0</v>
      </c>
      <c r="F43" s="6">
        <f t="shared" si="48"/>
        <v>0</v>
      </c>
      <c r="G43" s="7">
        <f>+MAX(Carga!$D$8,MIN(Carga!$F$8,Carga!$E$8+$C43))</f>
        <v>0.30690000000000001</v>
      </c>
      <c r="H43" s="6">
        <f t="shared" si="49"/>
        <v>0</v>
      </c>
      <c r="I43" s="6">
        <f t="shared" si="50"/>
        <v>0</v>
      </c>
      <c r="J43" s="6">
        <f>MIN(SUM(H$4:H43)-SUM(J$4:J42),E43)</f>
        <v>0</v>
      </c>
      <c r="K43" s="6">
        <f t="shared" si="51"/>
        <v>0</v>
      </c>
      <c r="M43" s="6">
        <f t="shared" si="52"/>
        <v>0</v>
      </c>
      <c r="N43" s="6">
        <f t="shared" si="53"/>
        <v>0</v>
      </c>
      <c r="O43" s="7">
        <f>+MAX(Carga!$D$9,MIN(Carga!$F$9,Carga!$E$9+$C43))</f>
        <v>0.32689999999999997</v>
      </c>
      <c r="P43" s="6">
        <f t="shared" si="54"/>
        <v>0</v>
      </c>
      <c r="Q43" s="6">
        <f t="shared" si="55"/>
        <v>0</v>
      </c>
      <c r="R43" s="6">
        <f>MIN(SUM(P$4:P43)-SUM(R$4:R42),M43)</f>
        <v>0</v>
      </c>
      <c r="S43" s="6">
        <f t="shared" si="56"/>
        <v>0</v>
      </c>
      <c r="U43" s="6">
        <f t="shared" si="57"/>
        <v>0</v>
      </c>
      <c r="V43" s="6">
        <f t="shared" si="58"/>
        <v>0</v>
      </c>
      <c r="W43" s="7">
        <f>+MAX(Carga!$D$10,MIN(Carga!$F$10,Carga!$E$10+$C43))</f>
        <v>0.2969</v>
      </c>
      <c r="X43" s="6">
        <f t="shared" si="59"/>
        <v>0</v>
      </c>
      <c r="Y43" s="6">
        <f t="shared" si="60"/>
        <v>0</v>
      </c>
      <c r="Z43" s="6">
        <f>MIN(SUM(X$4:X43)-SUM(Z$4:Z42),U43)</f>
        <v>0</v>
      </c>
      <c r="AA43" s="6">
        <f t="shared" si="61"/>
        <v>0</v>
      </c>
      <c r="AC43" s="6">
        <f t="shared" si="62"/>
        <v>0</v>
      </c>
      <c r="AD43" s="6">
        <f t="shared" si="63"/>
        <v>0</v>
      </c>
      <c r="AE43" s="7" t="b">
        <f>IF(MAX(AC44:AC$65)&gt;0,FALSE,TRUE)</f>
        <v>1</v>
      </c>
      <c r="AF43" s="6">
        <f t="shared" si="64"/>
        <v>0</v>
      </c>
      <c r="AG43" s="6">
        <f t="shared" si="65"/>
        <v>0</v>
      </c>
      <c r="AH43" s="6">
        <f t="shared" si="66"/>
        <v>0</v>
      </c>
      <c r="AJ43" s="6">
        <f t="shared" si="67"/>
        <v>-44061</v>
      </c>
      <c r="AL43" s="6">
        <f t="shared" si="68"/>
        <v>0</v>
      </c>
      <c r="AM43" s="6" t="e">
        <f t="shared" si="69"/>
        <v>#NUM!</v>
      </c>
      <c r="AN43" s="6" t="e">
        <f t="shared" si="70"/>
        <v>#NUM!</v>
      </c>
      <c r="AP43" s="6">
        <f t="shared" si="71"/>
        <v>0</v>
      </c>
      <c r="AQ43" s="6" t="e">
        <f t="shared" si="72"/>
        <v>#NUM!</v>
      </c>
      <c r="AR43" s="6" t="e">
        <f t="shared" si="73"/>
        <v>#NUM!</v>
      </c>
      <c r="AT43" s="6">
        <f t="shared" si="74"/>
        <v>0</v>
      </c>
      <c r="AU43" s="6" t="e">
        <f t="shared" si="75"/>
        <v>#NUM!</v>
      </c>
      <c r="AV43" s="6" t="e">
        <f t="shared" si="76"/>
        <v>#NUM!</v>
      </c>
      <c r="AX43" s="6">
        <f t="shared" si="77"/>
        <v>0</v>
      </c>
      <c r="AY43" s="6" t="e">
        <f t="shared" si="78"/>
        <v>#NUM!</v>
      </c>
      <c r="AZ43" s="6" t="e">
        <f t="shared" si="79"/>
        <v>#NUM!</v>
      </c>
      <c r="BB43" s="6">
        <f t="shared" si="80"/>
        <v>0</v>
      </c>
      <c r="BC43" s="6">
        <f t="shared" si="81"/>
        <v>0</v>
      </c>
      <c r="BD43" s="6">
        <f t="shared" si="82"/>
        <v>0</v>
      </c>
      <c r="BE43" s="6">
        <f t="shared" si="83"/>
        <v>0</v>
      </c>
      <c r="BG43" s="6" t="e">
        <f t="shared" si="97"/>
        <v>#DIV/0!</v>
      </c>
      <c r="BH43" s="6" t="e">
        <f t="shared" si="98"/>
        <v>#DIV/0!</v>
      </c>
      <c r="BI43" s="6">
        <f t="shared" ca="1" si="99"/>
        <v>0</v>
      </c>
      <c r="BJ43" s="6">
        <f>+SUM(E$40:E43)</f>
        <v>0</v>
      </c>
      <c r="BK43" s="6">
        <f>+SUM(J$40:J43)+F43</f>
        <v>0</v>
      </c>
      <c r="BL43" s="6">
        <f>+SUM(R$40:R43)+N43</f>
        <v>0</v>
      </c>
      <c r="BM43" s="6">
        <f>+SUM(Z$40:Z43)+V43</f>
        <v>0</v>
      </c>
      <c r="BN43" s="7" t="e">
        <f t="shared" si="100"/>
        <v>#DIV/0!</v>
      </c>
      <c r="BO43" s="7" t="e">
        <f t="shared" si="101"/>
        <v>#DIV/0!</v>
      </c>
      <c r="BP43" s="7" t="e">
        <f t="shared" si="102"/>
        <v>#DIV/0!</v>
      </c>
      <c r="BQ43" s="7" t="e">
        <f t="shared" si="103"/>
        <v>#DIV/0!</v>
      </c>
      <c r="BR43" s="7" t="e">
        <f t="shared" si="104"/>
        <v>#DIV/0!</v>
      </c>
      <c r="BS43" s="7" t="e">
        <f t="shared" si="105"/>
        <v>#DIV/0!</v>
      </c>
      <c r="BT43" s="31" t="e">
        <f t="shared" si="106"/>
        <v>#DIV/0!</v>
      </c>
      <c r="BU43" s="31" t="e">
        <f t="shared" si="107"/>
        <v>#DIV/0!</v>
      </c>
      <c r="BV43" s="31" t="e">
        <f t="shared" si="108"/>
        <v>#DIV/0!</v>
      </c>
      <c r="BW43" s="5">
        <f t="shared" si="109"/>
        <v>0</v>
      </c>
    </row>
    <row r="44" spans="2:75" x14ac:dyDescent="0.25">
      <c r="B44" s="13">
        <f>Carga!J44</f>
        <v>0</v>
      </c>
      <c r="C44" s="16">
        <f>Carga!$L44</f>
        <v>0.2969</v>
      </c>
      <c r="E44" s="15">
        <f>Carga!K44</f>
        <v>0</v>
      </c>
      <c r="F44" s="15">
        <f t="shared" si="48"/>
        <v>0</v>
      </c>
      <c r="G44" s="16">
        <f>+MAX(Carga!$D$8,MIN(Carga!$F$8,Carga!$E$8+$C44))</f>
        <v>0.30690000000000001</v>
      </c>
      <c r="H44" s="15">
        <f t="shared" si="49"/>
        <v>0</v>
      </c>
      <c r="I44" s="15">
        <f t="shared" si="50"/>
        <v>0</v>
      </c>
      <c r="J44" s="15">
        <f>MIN(SUM(H$4:H44)-SUM(J$4:J43),E44)</f>
        <v>0</v>
      </c>
      <c r="K44" s="15">
        <f t="shared" si="51"/>
        <v>0</v>
      </c>
      <c r="M44" s="15">
        <f t="shared" si="52"/>
        <v>0</v>
      </c>
      <c r="N44" s="15">
        <f t="shared" si="53"/>
        <v>0</v>
      </c>
      <c r="O44" s="16">
        <f>+MAX(Carga!$D$9,MIN(Carga!$F$9,Carga!$E$9+$C44))</f>
        <v>0.32689999999999997</v>
      </c>
      <c r="P44" s="15">
        <f t="shared" si="54"/>
        <v>0</v>
      </c>
      <c r="Q44" s="15">
        <f t="shared" si="55"/>
        <v>0</v>
      </c>
      <c r="R44" s="15">
        <f>MIN(SUM(P$4:P44)-SUM(R$4:R43),M44)</f>
        <v>0</v>
      </c>
      <c r="S44" s="15">
        <f t="shared" si="56"/>
        <v>0</v>
      </c>
      <c r="U44" s="15">
        <f t="shared" si="57"/>
        <v>0</v>
      </c>
      <c r="V44" s="15">
        <f t="shared" si="58"/>
        <v>0</v>
      </c>
      <c r="W44" s="16">
        <f>+MAX(Carga!$D$10,MIN(Carga!$F$10,Carga!$E$10+$C44))</f>
        <v>0.2969</v>
      </c>
      <c r="X44" s="15">
        <f t="shared" si="59"/>
        <v>0</v>
      </c>
      <c r="Y44" s="15">
        <f t="shared" si="60"/>
        <v>0</v>
      </c>
      <c r="Z44" s="15">
        <f>MIN(SUM(X$4:X44)-SUM(Z$4:Z43),U44)</f>
        <v>0</v>
      </c>
      <c r="AA44" s="15">
        <f t="shared" si="61"/>
        <v>0</v>
      </c>
      <c r="AC44" s="15">
        <f t="shared" si="62"/>
        <v>0</v>
      </c>
      <c r="AD44" s="15">
        <f t="shared" si="63"/>
        <v>0</v>
      </c>
      <c r="AE44" s="14" t="b">
        <f>IF(MAX(AC65:AC$65)&gt;0,FALSE,TRUE)</f>
        <v>1</v>
      </c>
      <c r="AF44" s="15">
        <f t="shared" si="64"/>
        <v>0</v>
      </c>
      <c r="AG44" s="15">
        <f t="shared" si="65"/>
        <v>0</v>
      </c>
      <c r="AH44" s="15">
        <f t="shared" si="66"/>
        <v>0</v>
      </c>
      <c r="AJ44" s="14">
        <f t="shared" si="67"/>
        <v>-44061</v>
      </c>
      <c r="AL44" s="15">
        <f t="shared" si="68"/>
        <v>0</v>
      </c>
      <c r="AM44" s="15" t="e">
        <f t="shared" si="69"/>
        <v>#NUM!</v>
      </c>
      <c r="AN44" s="14" t="e">
        <f t="shared" si="70"/>
        <v>#NUM!</v>
      </c>
      <c r="AP44" s="15">
        <f t="shared" si="71"/>
        <v>0</v>
      </c>
      <c r="AQ44" s="15" t="e">
        <f t="shared" si="72"/>
        <v>#NUM!</v>
      </c>
      <c r="AR44" s="15" t="e">
        <f t="shared" si="73"/>
        <v>#NUM!</v>
      </c>
      <c r="AT44" s="15">
        <f t="shared" si="74"/>
        <v>0</v>
      </c>
      <c r="AU44" s="15" t="e">
        <f t="shared" si="75"/>
        <v>#NUM!</v>
      </c>
      <c r="AV44" s="15" t="e">
        <f t="shared" si="76"/>
        <v>#NUM!</v>
      </c>
      <c r="AX44" s="15">
        <f t="shared" si="77"/>
        <v>0</v>
      </c>
      <c r="AY44" s="15" t="e">
        <f t="shared" si="78"/>
        <v>#NUM!</v>
      </c>
      <c r="AZ44" s="15" t="e">
        <f t="shared" si="79"/>
        <v>#NUM!</v>
      </c>
      <c r="BB44" s="15">
        <f t="shared" si="80"/>
        <v>0</v>
      </c>
      <c r="BC44" s="15">
        <f t="shared" si="81"/>
        <v>0</v>
      </c>
      <c r="BD44" s="15">
        <f t="shared" si="82"/>
        <v>0</v>
      </c>
      <c r="BE44" s="15">
        <f t="shared" si="83"/>
        <v>0</v>
      </c>
      <c r="BG44" s="15" t="e">
        <f t="shared" si="97"/>
        <v>#DIV/0!</v>
      </c>
      <c r="BH44" s="15" t="e">
        <f t="shared" si="98"/>
        <v>#DIV/0!</v>
      </c>
      <c r="BI44" s="15">
        <f t="shared" ca="1" si="99"/>
        <v>0</v>
      </c>
      <c r="BJ44" s="15">
        <f>+SUM(E$40:E44)</f>
        <v>0</v>
      </c>
      <c r="BK44" s="15">
        <f>+SUM(J$40:J44)+F44</f>
        <v>0</v>
      </c>
      <c r="BL44" s="15">
        <f>+SUM(R$40:R44)+N44</f>
        <v>0</v>
      </c>
      <c r="BM44" s="15">
        <f>+SUM(Z$40:Z44)+V44</f>
        <v>0</v>
      </c>
      <c r="BN44" s="16" t="e">
        <f t="shared" si="100"/>
        <v>#DIV/0!</v>
      </c>
      <c r="BO44" s="16" t="e">
        <f t="shared" si="101"/>
        <v>#DIV/0!</v>
      </c>
      <c r="BP44" s="16" t="e">
        <f t="shared" si="102"/>
        <v>#DIV/0!</v>
      </c>
      <c r="BQ44" s="16" t="e">
        <f t="shared" si="103"/>
        <v>#DIV/0!</v>
      </c>
      <c r="BR44" s="16" t="e">
        <f t="shared" si="104"/>
        <v>#DIV/0!</v>
      </c>
      <c r="BS44" s="16" t="e">
        <f t="shared" si="105"/>
        <v>#DIV/0!</v>
      </c>
      <c r="BT44" s="32" t="e">
        <f t="shared" si="106"/>
        <v>#DIV/0!</v>
      </c>
      <c r="BU44" s="32" t="e">
        <f t="shared" si="107"/>
        <v>#DIV/0!</v>
      </c>
      <c r="BV44" s="32" t="e">
        <f t="shared" si="108"/>
        <v>#DIV/0!</v>
      </c>
      <c r="BW44" s="13">
        <f t="shared" si="109"/>
        <v>0</v>
      </c>
    </row>
    <row r="45" spans="2:75" x14ac:dyDescent="0.25">
      <c r="B45" s="5">
        <f>Carga!J45</f>
        <v>0</v>
      </c>
      <c r="C45" s="7">
        <f>Carga!$L45</f>
        <v>0.2969</v>
      </c>
      <c r="E45" s="6">
        <f>Carga!K45</f>
        <v>0</v>
      </c>
      <c r="F45" s="6">
        <f t="shared" ref="F45:F64" si="110">SUM(F44,-I44)</f>
        <v>0</v>
      </c>
      <c r="G45" s="7">
        <f>+MAX(Carga!$D$8,MIN(Carga!$F$8,Carga!$E$8+$C45))</f>
        <v>0.30690000000000001</v>
      </c>
      <c r="H45" s="6">
        <f t="shared" ref="H45:H64" si="111">F45*G45/12</f>
        <v>0</v>
      </c>
      <c r="I45" s="6">
        <f t="shared" ref="I45:I64" si="112">MIN(E45-J45,F45)</f>
        <v>0</v>
      </c>
      <c r="J45" s="6">
        <f>MIN(SUM(H$4:H45)-SUM(J$4:J44),E45)</f>
        <v>0</v>
      </c>
      <c r="K45" s="6">
        <f t="shared" ref="K45:K64" si="113">SUM(I45:J45)</f>
        <v>0</v>
      </c>
      <c r="M45" s="6">
        <f t="shared" ref="M45:M64" si="114">MAX(E45-K45,0)</f>
        <v>0</v>
      </c>
      <c r="N45" s="6">
        <f t="shared" ref="N45:N64" si="115">SUM(N44,-Q44)</f>
        <v>0</v>
      </c>
      <c r="O45" s="7">
        <f>+MAX(Carga!$D$9,MIN(Carga!$F$9,Carga!$E$9+$C45))</f>
        <v>0.32689999999999997</v>
      </c>
      <c r="P45" s="6">
        <f t="shared" ref="P45:P64" si="116">N45*O45/12</f>
        <v>0</v>
      </c>
      <c r="Q45" s="6">
        <f t="shared" ref="Q45:Q64" si="117">MIN(M45-R45,N45)</f>
        <v>0</v>
      </c>
      <c r="R45" s="6">
        <f>MIN(SUM(P$4:P45)-SUM(R$4:R44),M45)</f>
        <v>0</v>
      </c>
      <c r="S45" s="6">
        <f t="shared" ref="S45:S64" si="118">SUM(Q45:R45)</f>
        <v>0</v>
      </c>
      <c r="U45" s="6">
        <f t="shared" ref="U45:U64" si="119">MAX(M45-S45,0)</f>
        <v>0</v>
      </c>
      <c r="V45" s="6">
        <f t="shared" ref="V45:V64" si="120">SUM(V44,-Y44)</f>
        <v>0</v>
      </c>
      <c r="W45" s="7">
        <f>+MAX(Carga!$D$10,MIN(Carga!$F$10,Carga!$E$10+$C45))</f>
        <v>0.2969</v>
      </c>
      <c r="X45" s="6">
        <f t="shared" ref="X45:X64" si="121">V45*W45/12</f>
        <v>0</v>
      </c>
      <c r="Y45" s="6">
        <f t="shared" ref="Y45:Y64" si="122">MIN(U45-Z45,V45)</f>
        <v>0</v>
      </c>
      <c r="Z45" s="6">
        <f>MIN(SUM(X$4:X45)-SUM(Z$4:Z44),U45)</f>
        <v>0</v>
      </c>
      <c r="AA45" s="6">
        <f t="shared" ref="AA45:AA64" si="123">SUM(Y45:Z45)</f>
        <v>0</v>
      </c>
      <c r="AC45" s="6">
        <f t="shared" ref="AC45:AC64" si="124">MAX(U45-AA45,0)</f>
        <v>0</v>
      </c>
      <c r="AD45" s="6">
        <f t="shared" ref="AD45:AD64" si="125">SUM(AD44,-AF44)</f>
        <v>0</v>
      </c>
      <c r="AE45" s="7" t="b">
        <f>IF(MAX(AC46:AC$65)&gt;0,FALSE,TRUE)</f>
        <v>1</v>
      </c>
      <c r="AF45" s="6">
        <f t="shared" ref="AF45:AF64" si="126">IF(AE45,MIN(AC45,AD45),MIN(AC45,AD45-100))</f>
        <v>0</v>
      </c>
      <c r="AG45" s="6">
        <f t="shared" ref="AG45:AG64" si="127">MAX(AC45-AF45,0)</f>
        <v>0</v>
      </c>
      <c r="AH45" s="6">
        <f t="shared" ref="AH45:AH64" si="128">SUM(AF45:AG45)</f>
        <v>0</v>
      </c>
      <c r="AJ45" s="6">
        <f t="shared" ref="AJ45:AJ64" si="129">B45-B$4</f>
        <v>-44061</v>
      </c>
      <c r="AL45" s="6">
        <f t="shared" ref="AL45:AL64" si="130">K45</f>
        <v>0</v>
      </c>
      <c r="AM45" s="6" t="e">
        <f t="shared" ref="AM45:AM64" si="131">AL45/((1+AL$66)^($AJ45/365))</f>
        <v>#NUM!</v>
      </c>
      <c r="AN45" s="6" t="e">
        <f t="shared" ref="AN45:AN64" si="132">$AJ45*AM45/-AL$4</f>
        <v>#NUM!</v>
      </c>
      <c r="AP45" s="6">
        <f t="shared" ref="AP45:AP64" si="133">S45</f>
        <v>0</v>
      </c>
      <c r="AQ45" s="6" t="e">
        <f t="shared" ref="AQ45:AQ64" si="134">AP45/((1+AP$66)^($AJ45/365))</f>
        <v>#NUM!</v>
      </c>
      <c r="AR45" s="6" t="e">
        <f t="shared" ref="AR45:AR64" si="135">$AJ45*AQ45/-AP$4</f>
        <v>#NUM!</v>
      </c>
      <c r="AT45" s="6">
        <f t="shared" ref="AT45:AT64" si="136">AA45</f>
        <v>0</v>
      </c>
      <c r="AU45" s="6" t="e">
        <f t="shared" ref="AU45:AU64" si="137">AT45/((1+AT$66)^($AJ45/365))</f>
        <v>#NUM!</v>
      </c>
      <c r="AV45" s="6" t="e">
        <f t="shared" ref="AV45:AV64" si="138">$AJ45*AU45/-AT$4</f>
        <v>#NUM!</v>
      </c>
      <c r="AX45" s="6">
        <f t="shared" ref="AX45:AX64" si="139">AH45</f>
        <v>0</v>
      </c>
      <c r="AY45" s="6" t="e">
        <f t="shared" ref="AY45:AY64" si="140">AX45/((1+AX$66)^($AJ45/365))</f>
        <v>#NUM!</v>
      </c>
      <c r="AZ45" s="6" t="e">
        <f t="shared" ref="AZ45:AZ64" si="141">$AJ45*AY45/-AX$4</f>
        <v>#NUM!</v>
      </c>
      <c r="BB45" s="6">
        <f t="shared" ref="BB45:BB64" si="142">K45</f>
        <v>0</v>
      </c>
      <c r="BC45" s="6">
        <f t="shared" ref="BC45:BC64" si="143">S45</f>
        <v>0</v>
      </c>
      <c r="BD45" s="6">
        <f t="shared" ref="BD45:BD64" si="144">AA45</f>
        <v>0</v>
      </c>
      <c r="BE45" s="6">
        <f t="shared" ref="BE45:BE64" si="145">AH45</f>
        <v>0</v>
      </c>
      <c r="BG45" s="6" t="e">
        <f t="shared" ref="BG45:BG64" si="146">+IF(AND(BU45&gt;=BT$5,BU44&lt;BT$5),1,0)</f>
        <v>#DIV/0!</v>
      </c>
      <c r="BH45" s="6" t="e">
        <f t="shared" ref="BH45:BH64" si="147">+IF(AND(BV45&gt;=BT$5,BV44&lt;BT$5),1,0)</f>
        <v>#DIV/0!</v>
      </c>
      <c r="BI45" s="6">
        <f t="shared" ref="BI45:BI64" ca="1" si="148">+IF(AND(TODAY()&gt;B44,TODAY()&lt;=B45),1,0)</f>
        <v>0</v>
      </c>
      <c r="BJ45" s="6">
        <f>+SUM(E$40:E45)</f>
        <v>0</v>
      </c>
      <c r="BK45" s="6">
        <f>+SUM(J$40:J45)+F45</f>
        <v>0</v>
      </c>
      <c r="BL45" s="6">
        <f>+SUM(R$40:R45)+N45</f>
        <v>0</v>
      </c>
      <c r="BM45" s="6">
        <f>+SUM(Z$40:Z45)+V45</f>
        <v>0</v>
      </c>
      <c r="BN45" s="7" t="e">
        <f t="shared" ref="BN45:BN64" si="149">+BK45/$BJ45</f>
        <v>#DIV/0!</v>
      </c>
      <c r="BO45" s="7" t="e">
        <f t="shared" ref="BO45:BO64" si="150">(BK45+BL45)/$BJ45</f>
        <v>#DIV/0!</v>
      </c>
      <c r="BP45" s="7" t="e">
        <f t="shared" ref="BP45:BP64" si="151">(BK45+BL45+BM45)/$BJ45</f>
        <v>#DIV/0!</v>
      </c>
      <c r="BQ45" s="7" t="e">
        <f t="shared" ref="BQ45:BQ64" si="152">+(1-BN45)</f>
        <v>#DIV/0!</v>
      </c>
      <c r="BR45" s="7" t="e">
        <f t="shared" ref="BR45:BR64" si="153">+(1-BO45)</f>
        <v>#DIV/0!</v>
      </c>
      <c r="BS45" s="7" t="e">
        <f t="shared" ref="BS45:BS64" si="154">+(1-BP45)</f>
        <v>#DIV/0!</v>
      </c>
      <c r="BT45" s="31" t="e">
        <f t="shared" ref="BT45:BT64" si="155">ROUND(1/BN45,2)</f>
        <v>#DIV/0!</v>
      </c>
      <c r="BU45" s="31" t="e">
        <f t="shared" ref="BU45:BU64" si="156">ROUND(1/BO45,2)</f>
        <v>#DIV/0!</v>
      </c>
      <c r="BV45" s="31" t="e">
        <f t="shared" ref="BV45:BV64" si="157">ROUND(1/BP45,2)</f>
        <v>#DIV/0!</v>
      </c>
      <c r="BW45" s="5">
        <f t="shared" ref="BW45:BW64" si="158">+B45</f>
        <v>0</v>
      </c>
    </row>
    <row r="46" spans="2:75" x14ac:dyDescent="0.25">
      <c r="B46" s="13">
        <f>Carga!J46</f>
        <v>0</v>
      </c>
      <c r="C46" s="16">
        <f>Carga!$L46</f>
        <v>0.2969</v>
      </c>
      <c r="E46" s="15">
        <f>Carga!K46</f>
        <v>0</v>
      </c>
      <c r="F46" s="15">
        <f t="shared" si="110"/>
        <v>0</v>
      </c>
      <c r="G46" s="16">
        <f>+MAX(Carga!$D$8,MIN(Carga!$F$8,Carga!$E$8+$C46))</f>
        <v>0.30690000000000001</v>
      </c>
      <c r="H46" s="15">
        <f t="shared" si="111"/>
        <v>0</v>
      </c>
      <c r="I46" s="15">
        <f t="shared" si="112"/>
        <v>0</v>
      </c>
      <c r="J46" s="15">
        <f>MIN(SUM(H$4:H46)-SUM(J$4:J45),E46)</f>
        <v>0</v>
      </c>
      <c r="K46" s="15">
        <f t="shared" si="113"/>
        <v>0</v>
      </c>
      <c r="M46" s="15">
        <f t="shared" si="114"/>
        <v>0</v>
      </c>
      <c r="N46" s="15">
        <f t="shared" si="115"/>
        <v>0</v>
      </c>
      <c r="O46" s="16">
        <f>+MAX(Carga!$D$9,MIN(Carga!$F$9,Carga!$E$9+$C46))</f>
        <v>0.32689999999999997</v>
      </c>
      <c r="P46" s="15">
        <f t="shared" si="116"/>
        <v>0</v>
      </c>
      <c r="Q46" s="15">
        <f t="shared" si="117"/>
        <v>0</v>
      </c>
      <c r="R46" s="15">
        <f>MIN(SUM(P$4:P46)-SUM(R$4:R45),M46)</f>
        <v>0</v>
      </c>
      <c r="S46" s="15">
        <f t="shared" si="118"/>
        <v>0</v>
      </c>
      <c r="U46" s="15">
        <f t="shared" si="119"/>
        <v>0</v>
      </c>
      <c r="V46" s="15">
        <f t="shared" si="120"/>
        <v>0</v>
      </c>
      <c r="W46" s="16">
        <f>+MAX(Carga!$D$10,MIN(Carga!$F$10,Carga!$E$10+$C46))</f>
        <v>0.2969</v>
      </c>
      <c r="X46" s="15">
        <f t="shared" si="121"/>
        <v>0</v>
      </c>
      <c r="Y46" s="15">
        <f t="shared" si="122"/>
        <v>0</v>
      </c>
      <c r="Z46" s="15">
        <f>MIN(SUM(X$4:X46)-SUM(Z$4:Z45),U46)</f>
        <v>0</v>
      </c>
      <c r="AA46" s="15">
        <f t="shared" si="123"/>
        <v>0</v>
      </c>
      <c r="AC46" s="15">
        <f t="shared" si="124"/>
        <v>0</v>
      </c>
      <c r="AD46" s="15">
        <f t="shared" si="125"/>
        <v>0</v>
      </c>
      <c r="AE46" s="14" t="b">
        <f>IF(MAX(AC$65:AC67)&gt;0,FALSE,TRUE)</f>
        <v>0</v>
      </c>
      <c r="AF46" s="15">
        <f t="shared" si="126"/>
        <v>-100</v>
      </c>
      <c r="AG46" s="15">
        <f t="shared" si="127"/>
        <v>100</v>
      </c>
      <c r="AH46" s="15">
        <f t="shared" si="128"/>
        <v>0</v>
      </c>
      <c r="AJ46" s="14">
        <f t="shared" si="129"/>
        <v>-44061</v>
      </c>
      <c r="AL46" s="15">
        <f t="shared" si="130"/>
        <v>0</v>
      </c>
      <c r="AM46" s="15" t="e">
        <f t="shared" si="131"/>
        <v>#NUM!</v>
      </c>
      <c r="AN46" s="14" t="e">
        <f t="shared" si="132"/>
        <v>#NUM!</v>
      </c>
      <c r="AP46" s="15">
        <f t="shared" si="133"/>
        <v>0</v>
      </c>
      <c r="AQ46" s="15" t="e">
        <f t="shared" si="134"/>
        <v>#NUM!</v>
      </c>
      <c r="AR46" s="15" t="e">
        <f t="shared" si="135"/>
        <v>#NUM!</v>
      </c>
      <c r="AT46" s="15">
        <f t="shared" si="136"/>
        <v>0</v>
      </c>
      <c r="AU46" s="15" t="e">
        <f t="shared" si="137"/>
        <v>#NUM!</v>
      </c>
      <c r="AV46" s="15" t="e">
        <f t="shared" si="138"/>
        <v>#NUM!</v>
      </c>
      <c r="AX46" s="15">
        <f t="shared" si="139"/>
        <v>0</v>
      </c>
      <c r="AY46" s="15" t="e">
        <f t="shared" si="140"/>
        <v>#NUM!</v>
      </c>
      <c r="AZ46" s="15" t="e">
        <f t="shared" si="141"/>
        <v>#NUM!</v>
      </c>
      <c r="BB46" s="15">
        <f t="shared" si="142"/>
        <v>0</v>
      </c>
      <c r="BC46" s="15">
        <f t="shared" si="143"/>
        <v>0</v>
      </c>
      <c r="BD46" s="15">
        <f t="shared" si="144"/>
        <v>0</v>
      </c>
      <c r="BE46" s="15">
        <f t="shared" si="145"/>
        <v>0</v>
      </c>
      <c r="BG46" s="15" t="e">
        <f t="shared" si="146"/>
        <v>#DIV/0!</v>
      </c>
      <c r="BH46" s="15" t="e">
        <f t="shared" si="147"/>
        <v>#DIV/0!</v>
      </c>
      <c r="BI46" s="15">
        <f t="shared" ca="1" si="148"/>
        <v>0</v>
      </c>
      <c r="BJ46" s="15">
        <f>+SUM(E$40:E46)</f>
        <v>0</v>
      </c>
      <c r="BK46" s="15">
        <f>+SUM(J$40:J46)+F46</f>
        <v>0</v>
      </c>
      <c r="BL46" s="15">
        <f>+SUM(R$40:R46)+N46</f>
        <v>0</v>
      </c>
      <c r="BM46" s="15">
        <f>+SUM(Z$40:Z46)+V46</f>
        <v>0</v>
      </c>
      <c r="BN46" s="16" t="e">
        <f t="shared" si="149"/>
        <v>#DIV/0!</v>
      </c>
      <c r="BO46" s="16" t="e">
        <f t="shared" si="150"/>
        <v>#DIV/0!</v>
      </c>
      <c r="BP46" s="16" t="e">
        <f t="shared" si="151"/>
        <v>#DIV/0!</v>
      </c>
      <c r="BQ46" s="16" t="e">
        <f t="shared" si="152"/>
        <v>#DIV/0!</v>
      </c>
      <c r="BR46" s="16" t="e">
        <f t="shared" si="153"/>
        <v>#DIV/0!</v>
      </c>
      <c r="BS46" s="16" t="e">
        <f t="shared" si="154"/>
        <v>#DIV/0!</v>
      </c>
      <c r="BT46" s="32" t="e">
        <f t="shared" si="155"/>
        <v>#DIV/0!</v>
      </c>
      <c r="BU46" s="32" t="e">
        <f t="shared" si="156"/>
        <v>#DIV/0!</v>
      </c>
      <c r="BV46" s="32" t="e">
        <f t="shared" si="157"/>
        <v>#DIV/0!</v>
      </c>
      <c r="BW46" s="13">
        <f t="shared" si="158"/>
        <v>0</v>
      </c>
    </row>
    <row r="47" spans="2:75" x14ac:dyDescent="0.25">
      <c r="B47" s="5">
        <f>Carga!J47</f>
        <v>0</v>
      </c>
      <c r="C47" s="7">
        <f>Carga!$L47</f>
        <v>0.2969</v>
      </c>
      <c r="E47" s="6">
        <f>Carga!K47</f>
        <v>0</v>
      </c>
      <c r="F47" s="6">
        <f t="shared" si="110"/>
        <v>0</v>
      </c>
      <c r="G47" s="7">
        <f>+MAX(Carga!$D$8,MIN(Carga!$F$8,Carga!$E$8+$C47))</f>
        <v>0.30690000000000001</v>
      </c>
      <c r="H47" s="6">
        <f t="shared" si="111"/>
        <v>0</v>
      </c>
      <c r="I47" s="6">
        <f t="shared" si="112"/>
        <v>0</v>
      </c>
      <c r="J47" s="6">
        <f>MIN(SUM(H$4:H47)-SUM(J$4:J46),E47)</f>
        <v>0</v>
      </c>
      <c r="K47" s="6">
        <f t="shared" si="113"/>
        <v>0</v>
      </c>
      <c r="M47" s="6">
        <f t="shared" si="114"/>
        <v>0</v>
      </c>
      <c r="N47" s="6">
        <f t="shared" si="115"/>
        <v>0</v>
      </c>
      <c r="O47" s="7">
        <f>+MAX(Carga!$D$9,MIN(Carga!$F$9,Carga!$E$9+$C47))</f>
        <v>0.32689999999999997</v>
      </c>
      <c r="P47" s="6">
        <f t="shared" si="116"/>
        <v>0</v>
      </c>
      <c r="Q47" s="6">
        <f t="shared" si="117"/>
        <v>0</v>
      </c>
      <c r="R47" s="6">
        <f>MIN(SUM(P$4:P47)-SUM(R$4:R46),M47)</f>
        <v>0</v>
      </c>
      <c r="S47" s="6">
        <f t="shared" si="118"/>
        <v>0</v>
      </c>
      <c r="U47" s="6">
        <f t="shared" si="119"/>
        <v>0</v>
      </c>
      <c r="V47" s="6">
        <f t="shared" si="120"/>
        <v>0</v>
      </c>
      <c r="W47" s="7">
        <f>+MAX(Carga!$D$10,MIN(Carga!$F$10,Carga!$E$10+$C47))</f>
        <v>0.2969</v>
      </c>
      <c r="X47" s="6">
        <f t="shared" si="121"/>
        <v>0</v>
      </c>
      <c r="Y47" s="6">
        <f t="shared" si="122"/>
        <v>0</v>
      </c>
      <c r="Z47" s="6">
        <f>MIN(SUM(X$4:X47)-SUM(Z$4:Z46),U47)</f>
        <v>0</v>
      </c>
      <c r="AA47" s="6">
        <f t="shared" si="123"/>
        <v>0</v>
      </c>
      <c r="AC47" s="6">
        <f t="shared" si="124"/>
        <v>0</v>
      </c>
      <c r="AD47" s="6">
        <f t="shared" si="125"/>
        <v>100</v>
      </c>
      <c r="AE47" s="7" t="b">
        <f>IF(MAX(AC48:AC$65)&gt;0,FALSE,TRUE)</f>
        <v>1</v>
      </c>
      <c r="AF47" s="6">
        <f t="shared" si="126"/>
        <v>0</v>
      </c>
      <c r="AG47" s="6">
        <f t="shared" si="127"/>
        <v>0</v>
      </c>
      <c r="AH47" s="6">
        <f t="shared" si="128"/>
        <v>0</v>
      </c>
      <c r="AJ47" s="6">
        <f t="shared" si="129"/>
        <v>-44061</v>
      </c>
      <c r="AL47" s="6">
        <f t="shared" si="130"/>
        <v>0</v>
      </c>
      <c r="AM47" s="6" t="e">
        <f t="shared" si="131"/>
        <v>#NUM!</v>
      </c>
      <c r="AN47" s="6" t="e">
        <f t="shared" si="132"/>
        <v>#NUM!</v>
      </c>
      <c r="AP47" s="6">
        <f t="shared" si="133"/>
        <v>0</v>
      </c>
      <c r="AQ47" s="6" t="e">
        <f t="shared" si="134"/>
        <v>#NUM!</v>
      </c>
      <c r="AR47" s="6" t="e">
        <f t="shared" si="135"/>
        <v>#NUM!</v>
      </c>
      <c r="AT47" s="6">
        <f t="shared" si="136"/>
        <v>0</v>
      </c>
      <c r="AU47" s="6" t="e">
        <f t="shared" si="137"/>
        <v>#NUM!</v>
      </c>
      <c r="AV47" s="6" t="e">
        <f t="shared" si="138"/>
        <v>#NUM!</v>
      </c>
      <c r="AX47" s="6">
        <f t="shared" si="139"/>
        <v>0</v>
      </c>
      <c r="AY47" s="6" t="e">
        <f t="shared" si="140"/>
        <v>#NUM!</v>
      </c>
      <c r="AZ47" s="6" t="e">
        <f t="shared" si="141"/>
        <v>#NUM!</v>
      </c>
      <c r="BB47" s="6">
        <f t="shared" si="142"/>
        <v>0</v>
      </c>
      <c r="BC47" s="6">
        <f t="shared" si="143"/>
        <v>0</v>
      </c>
      <c r="BD47" s="6">
        <f t="shared" si="144"/>
        <v>0</v>
      </c>
      <c r="BE47" s="6">
        <f t="shared" si="145"/>
        <v>0</v>
      </c>
      <c r="BG47" s="6" t="e">
        <f t="shared" si="146"/>
        <v>#DIV/0!</v>
      </c>
      <c r="BH47" s="6" t="e">
        <f t="shared" si="147"/>
        <v>#DIV/0!</v>
      </c>
      <c r="BI47" s="6">
        <f t="shared" ca="1" si="148"/>
        <v>0</v>
      </c>
      <c r="BJ47" s="6">
        <f>+SUM(E$40:E47)</f>
        <v>0</v>
      </c>
      <c r="BK47" s="6">
        <f>+SUM(J$40:J47)+F47</f>
        <v>0</v>
      </c>
      <c r="BL47" s="6">
        <f>+SUM(R$40:R47)+N47</f>
        <v>0</v>
      </c>
      <c r="BM47" s="6">
        <f>+SUM(Z$40:Z47)+V47</f>
        <v>0</v>
      </c>
      <c r="BN47" s="7" t="e">
        <f t="shared" si="149"/>
        <v>#DIV/0!</v>
      </c>
      <c r="BO47" s="7" t="e">
        <f t="shared" si="150"/>
        <v>#DIV/0!</v>
      </c>
      <c r="BP47" s="7" t="e">
        <f t="shared" si="151"/>
        <v>#DIV/0!</v>
      </c>
      <c r="BQ47" s="7" t="e">
        <f t="shared" si="152"/>
        <v>#DIV/0!</v>
      </c>
      <c r="BR47" s="7" t="e">
        <f t="shared" si="153"/>
        <v>#DIV/0!</v>
      </c>
      <c r="BS47" s="7" t="e">
        <f t="shared" si="154"/>
        <v>#DIV/0!</v>
      </c>
      <c r="BT47" s="31" t="e">
        <f t="shared" si="155"/>
        <v>#DIV/0!</v>
      </c>
      <c r="BU47" s="31" t="e">
        <f t="shared" si="156"/>
        <v>#DIV/0!</v>
      </c>
      <c r="BV47" s="31" t="e">
        <f t="shared" si="157"/>
        <v>#DIV/0!</v>
      </c>
      <c r="BW47" s="5">
        <f t="shared" si="158"/>
        <v>0</v>
      </c>
    </row>
    <row r="48" spans="2:75" x14ac:dyDescent="0.25">
      <c r="B48" s="13">
        <f>Carga!J48</f>
        <v>0</v>
      </c>
      <c r="C48" s="16">
        <f>Carga!$L48</f>
        <v>0.2969</v>
      </c>
      <c r="E48" s="15">
        <f>Carga!K48</f>
        <v>0</v>
      </c>
      <c r="F48" s="15">
        <f t="shared" si="110"/>
        <v>0</v>
      </c>
      <c r="G48" s="16">
        <f>+MAX(Carga!$D$8,MIN(Carga!$F$8,Carga!$E$8+$C48))</f>
        <v>0.30690000000000001</v>
      </c>
      <c r="H48" s="15">
        <f t="shared" si="111"/>
        <v>0</v>
      </c>
      <c r="I48" s="15">
        <f t="shared" si="112"/>
        <v>0</v>
      </c>
      <c r="J48" s="15">
        <f>MIN(SUM(H$4:H48)-SUM(J$4:J47),E48)</f>
        <v>0</v>
      </c>
      <c r="K48" s="15">
        <f t="shared" si="113"/>
        <v>0</v>
      </c>
      <c r="M48" s="15">
        <f t="shared" si="114"/>
        <v>0</v>
      </c>
      <c r="N48" s="15">
        <f t="shared" si="115"/>
        <v>0</v>
      </c>
      <c r="O48" s="16">
        <f>+MAX(Carga!$D$9,MIN(Carga!$F$9,Carga!$E$9+$C48))</f>
        <v>0.32689999999999997</v>
      </c>
      <c r="P48" s="15">
        <f t="shared" si="116"/>
        <v>0</v>
      </c>
      <c r="Q48" s="15">
        <f t="shared" si="117"/>
        <v>0</v>
      </c>
      <c r="R48" s="15">
        <f>MIN(SUM(P$4:P48)-SUM(R$4:R47),M48)</f>
        <v>0</v>
      </c>
      <c r="S48" s="15">
        <f t="shared" si="118"/>
        <v>0</v>
      </c>
      <c r="U48" s="15">
        <f t="shared" si="119"/>
        <v>0</v>
      </c>
      <c r="V48" s="15">
        <f t="shared" si="120"/>
        <v>0</v>
      </c>
      <c r="W48" s="16">
        <f>+MAX(Carga!$D$10,MIN(Carga!$F$10,Carga!$E$10+$C48))</f>
        <v>0.2969</v>
      </c>
      <c r="X48" s="15">
        <f t="shared" si="121"/>
        <v>0</v>
      </c>
      <c r="Y48" s="15">
        <f t="shared" si="122"/>
        <v>0</v>
      </c>
      <c r="Z48" s="15">
        <f>MIN(SUM(X$4:X48)-SUM(Z$4:Z47),U48)</f>
        <v>0</v>
      </c>
      <c r="AA48" s="15">
        <f t="shared" si="123"/>
        <v>0</v>
      </c>
      <c r="AC48" s="15">
        <f t="shared" si="124"/>
        <v>0</v>
      </c>
      <c r="AD48" s="15">
        <f t="shared" si="125"/>
        <v>100</v>
      </c>
      <c r="AE48" s="14" t="b">
        <f>IF(MAX(AC$65:AC69)&gt;0,FALSE,TRUE)</f>
        <v>0</v>
      </c>
      <c r="AF48" s="15">
        <f t="shared" si="126"/>
        <v>0</v>
      </c>
      <c r="AG48" s="15">
        <f t="shared" si="127"/>
        <v>0</v>
      </c>
      <c r="AH48" s="15">
        <f t="shared" si="128"/>
        <v>0</v>
      </c>
      <c r="AJ48" s="14">
        <f t="shared" si="129"/>
        <v>-44061</v>
      </c>
      <c r="AL48" s="15">
        <f t="shared" si="130"/>
        <v>0</v>
      </c>
      <c r="AM48" s="15" t="e">
        <f t="shared" si="131"/>
        <v>#NUM!</v>
      </c>
      <c r="AN48" s="14" t="e">
        <f t="shared" si="132"/>
        <v>#NUM!</v>
      </c>
      <c r="AP48" s="15">
        <f t="shared" si="133"/>
        <v>0</v>
      </c>
      <c r="AQ48" s="15" t="e">
        <f t="shared" si="134"/>
        <v>#NUM!</v>
      </c>
      <c r="AR48" s="15" t="e">
        <f t="shared" si="135"/>
        <v>#NUM!</v>
      </c>
      <c r="AT48" s="15">
        <f t="shared" si="136"/>
        <v>0</v>
      </c>
      <c r="AU48" s="15" t="e">
        <f t="shared" si="137"/>
        <v>#NUM!</v>
      </c>
      <c r="AV48" s="15" t="e">
        <f t="shared" si="138"/>
        <v>#NUM!</v>
      </c>
      <c r="AX48" s="15">
        <f t="shared" si="139"/>
        <v>0</v>
      </c>
      <c r="AY48" s="15" t="e">
        <f t="shared" si="140"/>
        <v>#NUM!</v>
      </c>
      <c r="AZ48" s="15" t="e">
        <f t="shared" si="141"/>
        <v>#NUM!</v>
      </c>
      <c r="BB48" s="15">
        <f t="shared" si="142"/>
        <v>0</v>
      </c>
      <c r="BC48" s="15">
        <f t="shared" si="143"/>
        <v>0</v>
      </c>
      <c r="BD48" s="15">
        <f t="shared" si="144"/>
        <v>0</v>
      </c>
      <c r="BE48" s="15">
        <f t="shared" si="145"/>
        <v>0</v>
      </c>
      <c r="BG48" s="15" t="e">
        <f t="shared" si="146"/>
        <v>#DIV/0!</v>
      </c>
      <c r="BH48" s="15" t="e">
        <f t="shared" si="147"/>
        <v>#DIV/0!</v>
      </c>
      <c r="BI48" s="15">
        <f t="shared" ca="1" si="148"/>
        <v>0</v>
      </c>
      <c r="BJ48" s="15">
        <f>+SUM(E$40:E48)</f>
        <v>0</v>
      </c>
      <c r="BK48" s="15">
        <f>+SUM(J$40:J48)+F48</f>
        <v>0</v>
      </c>
      <c r="BL48" s="15">
        <f>+SUM(R$40:R48)+N48</f>
        <v>0</v>
      </c>
      <c r="BM48" s="15">
        <f>+SUM(Z$40:Z48)+V48</f>
        <v>0</v>
      </c>
      <c r="BN48" s="16" t="e">
        <f t="shared" si="149"/>
        <v>#DIV/0!</v>
      </c>
      <c r="BO48" s="16" t="e">
        <f t="shared" si="150"/>
        <v>#DIV/0!</v>
      </c>
      <c r="BP48" s="16" t="e">
        <f t="shared" si="151"/>
        <v>#DIV/0!</v>
      </c>
      <c r="BQ48" s="16" t="e">
        <f t="shared" si="152"/>
        <v>#DIV/0!</v>
      </c>
      <c r="BR48" s="16" t="e">
        <f t="shared" si="153"/>
        <v>#DIV/0!</v>
      </c>
      <c r="BS48" s="16" t="e">
        <f t="shared" si="154"/>
        <v>#DIV/0!</v>
      </c>
      <c r="BT48" s="32" t="e">
        <f t="shared" si="155"/>
        <v>#DIV/0!</v>
      </c>
      <c r="BU48" s="32" t="e">
        <f t="shared" si="156"/>
        <v>#DIV/0!</v>
      </c>
      <c r="BV48" s="32" t="e">
        <f t="shared" si="157"/>
        <v>#DIV/0!</v>
      </c>
      <c r="BW48" s="13">
        <f t="shared" si="158"/>
        <v>0</v>
      </c>
    </row>
    <row r="49" spans="2:75" x14ac:dyDescent="0.25">
      <c r="B49" s="5">
        <f>Carga!J49</f>
        <v>0</v>
      </c>
      <c r="C49" s="7">
        <f>Carga!$L49</f>
        <v>0.2969</v>
      </c>
      <c r="E49" s="6">
        <f>Carga!K49</f>
        <v>0</v>
      </c>
      <c r="F49" s="6">
        <f t="shared" si="110"/>
        <v>0</v>
      </c>
      <c r="G49" s="7">
        <f>+MAX(Carga!$D$8,MIN(Carga!$F$8,Carga!$E$8+$C49))</f>
        <v>0.30690000000000001</v>
      </c>
      <c r="H49" s="6">
        <f t="shared" si="111"/>
        <v>0</v>
      </c>
      <c r="I49" s="6">
        <f t="shared" si="112"/>
        <v>0</v>
      </c>
      <c r="J49" s="6">
        <f>MIN(SUM(H$4:H49)-SUM(J$4:J48),E49)</f>
        <v>0</v>
      </c>
      <c r="K49" s="6">
        <f t="shared" si="113"/>
        <v>0</v>
      </c>
      <c r="M49" s="6">
        <f t="shared" si="114"/>
        <v>0</v>
      </c>
      <c r="N49" s="6">
        <f t="shared" si="115"/>
        <v>0</v>
      </c>
      <c r="O49" s="7">
        <f>+MAX(Carga!$D$9,MIN(Carga!$F$9,Carga!$E$9+$C49))</f>
        <v>0.32689999999999997</v>
      </c>
      <c r="P49" s="6">
        <f t="shared" si="116"/>
        <v>0</v>
      </c>
      <c r="Q49" s="6">
        <f t="shared" si="117"/>
        <v>0</v>
      </c>
      <c r="R49" s="6">
        <f>MIN(SUM(P$4:P49)-SUM(R$4:R48),M49)</f>
        <v>0</v>
      </c>
      <c r="S49" s="6">
        <f t="shared" si="118"/>
        <v>0</v>
      </c>
      <c r="U49" s="6">
        <f t="shared" si="119"/>
        <v>0</v>
      </c>
      <c r="V49" s="6">
        <f t="shared" si="120"/>
        <v>0</v>
      </c>
      <c r="W49" s="7">
        <f>+MAX(Carga!$D$10,MIN(Carga!$F$10,Carga!$E$10+$C49))</f>
        <v>0.2969</v>
      </c>
      <c r="X49" s="6">
        <f t="shared" si="121"/>
        <v>0</v>
      </c>
      <c r="Y49" s="6">
        <f t="shared" si="122"/>
        <v>0</v>
      </c>
      <c r="Z49" s="6">
        <f>MIN(SUM(X$4:X49)-SUM(Z$4:Z48),U49)</f>
        <v>0</v>
      </c>
      <c r="AA49" s="6">
        <f t="shared" si="123"/>
        <v>0</v>
      </c>
      <c r="AC49" s="6">
        <f t="shared" si="124"/>
        <v>0</v>
      </c>
      <c r="AD49" s="6">
        <f t="shared" si="125"/>
        <v>100</v>
      </c>
      <c r="AE49" s="7" t="b">
        <f>IF(MAX(AC50:AC$65)&gt;0,FALSE,TRUE)</f>
        <v>1</v>
      </c>
      <c r="AF49" s="6">
        <f t="shared" si="126"/>
        <v>0</v>
      </c>
      <c r="AG49" s="6">
        <f t="shared" si="127"/>
        <v>0</v>
      </c>
      <c r="AH49" s="6">
        <f t="shared" si="128"/>
        <v>0</v>
      </c>
      <c r="AJ49" s="6">
        <f t="shared" si="129"/>
        <v>-44061</v>
      </c>
      <c r="AL49" s="6">
        <f t="shared" si="130"/>
        <v>0</v>
      </c>
      <c r="AM49" s="6" t="e">
        <f t="shared" si="131"/>
        <v>#NUM!</v>
      </c>
      <c r="AN49" s="6" t="e">
        <f t="shared" si="132"/>
        <v>#NUM!</v>
      </c>
      <c r="AP49" s="6">
        <f t="shared" si="133"/>
        <v>0</v>
      </c>
      <c r="AQ49" s="6" t="e">
        <f t="shared" si="134"/>
        <v>#NUM!</v>
      </c>
      <c r="AR49" s="6" t="e">
        <f t="shared" si="135"/>
        <v>#NUM!</v>
      </c>
      <c r="AT49" s="6">
        <f t="shared" si="136"/>
        <v>0</v>
      </c>
      <c r="AU49" s="6" t="e">
        <f t="shared" si="137"/>
        <v>#NUM!</v>
      </c>
      <c r="AV49" s="6" t="e">
        <f t="shared" si="138"/>
        <v>#NUM!</v>
      </c>
      <c r="AX49" s="6">
        <f t="shared" si="139"/>
        <v>0</v>
      </c>
      <c r="AY49" s="6" t="e">
        <f t="shared" si="140"/>
        <v>#NUM!</v>
      </c>
      <c r="AZ49" s="6" t="e">
        <f t="shared" si="141"/>
        <v>#NUM!</v>
      </c>
      <c r="BB49" s="6">
        <f t="shared" si="142"/>
        <v>0</v>
      </c>
      <c r="BC49" s="6">
        <f t="shared" si="143"/>
        <v>0</v>
      </c>
      <c r="BD49" s="6">
        <f t="shared" si="144"/>
        <v>0</v>
      </c>
      <c r="BE49" s="6">
        <f t="shared" si="145"/>
        <v>0</v>
      </c>
      <c r="BG49" s="6" t="e">
        <f t="shared" si="146"/>
        <v>#DIV/0!</v>
      </c>
      <c r="BH49" s="6" t="e">
        <f t="shared" si="147"/>
        <v>#DIV/0!</v>
      </c>
      <c r="BI49" s="6">
        <f t="shared" ca="1" si="148"/>
        <v>0</v>
      </c>
      <c r="BJ49" s="6">
        <f>+SUM(E$40:E49)</f>
        <v>0</v>
      </c>
      <c r="BK49" s="6">
        <f>+SUM(J$40:J49)+F49</f>
        <v>0</v>
      </c>
      <c r="BL49" s="6">
        <f>+SUM(R$40:R49)+N49</f>
        <v>0</v>
      </c>
      <c r="BM49" s="6">
        <f>+SUM(Z$40:Z49)+V49</f>
        <v>0</v>
      </c>
      <c r="BN49" s="7" t="e">
        <f t="shared" si="149"/>
        <v>#DIV/0!</v>
      </c>
      <c r="BO49" s="7" t="e">
        <f t="shared" si="150"/>
        <v>#DIV/0!</v>
      </c>
      <c r="BP49" s="7" t="e">
        <f t="shared" si="151"/>
        <v>#DIV/0!</v>
      </c>
      <c r="BQ49" s="7" t="e">
        <f t="shared" si="152"/>
        <v>#DIV/0!</v>
      </c>
      <c r="BR49" s="7" t="e">
        <f t="shared" si="153"/>
        <v>#DIV/0!</v>
      </c>
      <c r="BS49" s="7" t="e">
        <f t="shared" si="154"/>
        <v>#DIV/0!</v>
      </c>
      <c r="BT49" s="31" t="e">
        <f t="shared" si="155"/>
        <v>#DIV/0!</v>
      </c>
      <c r="BU49" s="31" t="e">
        <f t="shared" si="156"/>
        <v>#DIV/0!</v>
      </c>
      <c r="BV49" s="31" t="e">
        <f t="shared" si="157"/>
        <v>#DIV/0!</v>
      </c>
      <c r="BW49" s="5">
        <f t="shared" si="158"/>
        <v>0</v>
      </c>
    </row>
    <row r="50" spans="2:75" x14ac:dyDescent="0.25">
      <c r="B50" s="13">
        <f>Carga!J50</f>
        <v>0</v>
      </c>
      <c r="C50" s="16">
        <f>Carga!$L50</f>
        <v>0.2969</v>
      </c>
      <c r="E50" s="15">
        <f>Carga!K50</f>
        <v>0</v>
      </c>
      <c r="F50" s="15">
        <f t="shared" si="110"/>
        <v>0</v>
      </c>
      <c r="G50" s="16">
        <f>+MAX(Carga!$D$8,MIN(Carga!$F$8,Carga!$E$8+$C50))</f>
        <v>0.30690000000000001</v>
      </c>
      <c r="H50" s="15">
        <f t="shared" si="111"/>
        <v>0</v>
      </c>
      <c r="I50" s="15">
        <f t="shared" si="112"/>
        <v>0</v>
      </c>
      <c r="J50" s="15">
        <f>MIN(SUM(H$4:H50)-SUM(J$4:J49),E50)</f>
        <v>0</v>
      </c>
      <c r="K50" s="15">
        <f t="shared" si="113"/>
        <v>0</v>
      </c>
      <c r="M50" s="15">
        <f t="shared" si="114"/>
        <v>0</v>
      </c>
      <c r="N50" s="15">
        <f t="shared" si="115"/>
        <v>0</v>
      </c>
      <c r="O50" s="16">
        <f>+MAX(Carga!$D$9,MIN(Carga!$F$9,Carga!$E$9+$C50))</f>
        <v>0.32689999999999997</v>
      </c>
      <c r="P50" s="15">
        <f t="shared" si="116"/>
        <v>0</v>
      </c>
      <c r="Q50" s="15">
        <f t="shared" si="117"/>
        <v>0</v>
      </c>
      <c r="R50" s="15">
        <f>MIN(SUM(P$4:P50)-SUM(R$4:R49),M50)</f>
        <v>0</v>
      </c>
      <c r="S50" s="15">
        <f t="shared" si="118"/>
        <v>0</v>
      </c>
      <c r="U50" s="15">
        <f t="shared" si="119"/>
        <v>0</v>
      </c>
      <c r="V50" s="15">
        <f t="shared" si="120"/>
        <v>0</v>
      </c>
      <c r="W50" s="16">
        <f>+MAX(Carga!$D$10,MIN(Carga!$F$10,Carga!$E$10+$C50))</f>
        <v>0.2969</v>
      </c>
      <c r="X50" s="15">
        <f t="shared" si="121"/>
        <v>0</v>
      </c>
      <c r="Y50" s="15">
        <f t="shared" si="122"/>
        <v>0</v>
      </c>
      <c r="Z50" s="15">
        <f>MIN(SUM(X$4:X50)-SUM(Z$4:Z49),U50)</f>
        <v>0</v>
      </c>
      <c r="AA50" s="15">
        <f t="shared" si="123"/>
        <v>0</v>
      </c>
      <c r="AC50" s="15">
        <f t="shared" si="124"/>
        <v>0</v>
      </c>
      <c r="AD50" s="15">
        <f t="shared" si="125"/>
        <v>100</v>
      </c>
      <c r="AE50" s="14" t="b">
        <f>IF(MAX(AC$65:AC71)&gt;0,FALSE,TRUE)</f>
        <v>0</v>
      </c>
      <c r="AF50" s="15">
        <f t="shared" si="126"/>
        <v>0</v>
      </c>
      <c r="AG50" s="15">
        <f t="shared" si="127"/>
        <v>0</v>
      </c>
      <c r="AH50" s="15">
        <f t="shared" si="128"/>
        <v>0</v>
      </c>
      <c r="AJ50" s="14">
        <f t="shared" si="129"/>
        <v>-44061</v>
      </c>
      <c r="AL50" s="15">
        <f t="shared" si="130"/>
        <v>0</v>
      </c>
      <c r="AM50" s="15" t="e">
        <f t="shared" si="131"/>
        <v>#NUM!</v>
      </c>
      <c r="AN50" s="14" t="e">
        <f t="shared" si="132"/>
        <v>#NUM!</v>
      </c>
      <c r="AP50" s="15">
        <f t="shared" si="133"/>
        <v>0</v>
      </c>
      <c r="AQ50" s="15" t="e">
        <f t="shared" si="134"/>
        <v>#NUM!</v>
      </c>
      <c r="AR50" s="15" t="e">
        <f t="shared" si="135"/>
        <v>#NUM!</v>
      </c>
      <c r="AT50" s="15">
        <f t="shared" si="136"/>
        <v>0</v>
      </c>
      <c r="AU50" s="15" t="e">
        <f t="shared" si="137"/>
        <v>#NUM!</v>
      </c>
      <c r="AV50" s="15" t="e">
        <f t="shared" si="138"/>
        <v>#NUM!</v>
      </c>
      <c r="AX50" s="15">
        <f t="shared" si="139"/>
        <v>0</v>
      </c>
      <c r="AY50" s="15" t="e">
        <f t="shared" si="140"/>
        <v>#NUM!</v>
      </c>
      <c r="AZ50" s="15" t="e">
        <f t="shared" si="141"/>
        <v>#NUM!</v>
      </c>
      <c r="BB50" s="15">
        <f t="shared" si="142"/>
        <v>0</v>
      </c>
      <c r="BC50" s="15">
        <f t="shared" si="143"/>
        <v>0</v>
      </c>
      <c r="BD50" s="15">
        <f t="shared" si="144"/>
        <v>0</v>
      </c>
      <c r="BE50" s="15">
        <f t="shared" si="145"/>
        <v>0</v>
      </c>
      <c r="BG50" s="15" t="e">
        <f t="shared" si="146"/>
        <v>#DIV/0!</v>
      </c>
      <c r="BH50" s="15" t="e">
        <f t="shared" si="147"/>
        <v>#DIV/0!</v>
      </c>
      <c r="BI50" s="15">
        <f t="shared" ca="1" si="148"/>
        <v>0</v>
      </c>
      <c r="BJ50" s="15">
        <f>+SUM(E$40:E50)</f>
        <v>0</v>
      </c>
      <c r="BK50" s="15">
        <f>+SUM(J$40:J50)+F50</f>
        <v>0</v>
      </c>
      <c r="BL50" s="15">
        <f>+SUM(R$40:R50)+N50</f>
        <v>0</v>
      </c>
      <c r="BM50" s="15">
        <f>+SUM(Z$40:Z50)+V50</f>
        <v>0</v>
      </c>
      <c r="BN50" s="16" t="e">
        <f t="shared" si="149"/>
        <v>#DIV/0!</v>
      </c>
      <c r="BO50" s="16" t="e">
        <f t="shared" si="150"/>
        <v>#DIV/0!</v>
      </c>
      <c r="BP50" s="16" t="e">
        <f t="shared" si="151"/>
        <v>#DIV/0!</v>
      </c>
      <c r="BQ50" s="16" t="e">
        <f t="shared" si="152"/>
        <v>#DIV/0!</v>
      </c>
      <c r="BR50" s="16" t="e">
        <f t="shared" si="153"/>
        <v>#DIV/0!</v>
      </c>
      <c r="BS50" s="16" t="e">
        <f t="shared" si="154"/>
        <v>#DIV/0!</v>
      </c>
      <c r="BT50" s="32" t="e">
        <f t="shared" si="155"/>
        <v>#DIV/0!</v>
      </c>
      <c r="BU50" s="32" t="e">
        <f t="shared" si="156"/>
        <v>#DIV/0!</v>
      </c>
      <c r="BV50" s="32" t="e">
        <f t="shared" si="157"/>
        <v>#DIV/0!</v>
      </c>
      <c r="BW50" s="13">
        <f t="shared" si="158"/>
        <v>0</v>
      </c>
    </row>
    <row r="51" spans="2:75" x14ac:dyDescent="0.25">
      <c r="B51" s="5">
        <f>Carga!J51</f>
        <v>0</v>
      </c>
      <c r="C51" s="7">
        <f>Carga!$L51</f>
        <v>0.2969</v>
      </c>
      <c r="E51" s="6">
        <f>Carga!K51</f>
        <v>0</v>
      </c>
      <c r="F51" s="6">
        <f t="shared" si="110"/>
        <v>0</v>
      </c>
      <c r="G51" s="7">
        <f>+MAX(Carga!$D$8,MIN(Carga!$F$8,Carga!$E$8+$C51))</f>
        <v>0.30690000000000001</v>
      </c>
      <c r="H51" s="6">
        <f t="shared" si="111"/>
        <v>0</v>
      </c>
      <c r="I51" s="6">
        <f t="shared" si="112"/>
        <v>0</v>
      </c>
      <c r="J51" s="6">
        <f>MIN(SUM(H$4:H51)-SUM(J$4:J50),E51)</f>
        <v>0</v>
      </c>
      <c r="K51" s="6">
        <f t="shared" si="113"/>
        <v>0</v>
      </c>
      <c r="M51" s="6">
        <f t="shared" si="114"/>
        <v>0</v>
      </c>
      <c r="N51" s="6">
        <f t="shared" si="115"/>
        <v>0</v>
      </c>
      <c r="O51" s="7">
        <f>+MAX(Carga!$D$9,MIN(Carga!$F$9,Carga!$E$9+$C51))</f>
        <v>0.32689999999999997</v>
      </c>
      <c r="P51" s="6">
        <f t="shared" si="116"/>
        <v>0</v>
      </c>
      <c r="Q51" s="6">
        <f t="shared" si="117"/>
        <v>0</v>
      </c>
      <c r="R51" s="6">
        <f>MIN(SUM(P$4:P51)-SUM(R$4:R50),M51)</f>
        <v>0</v>
      </c>
      <c r="S51" s="6">
        <f t="shared" si="118"/>
        <v>0</v>
      </c>
      <c r="U51" s="6">
        <f t="shared" si="119"/>
        <v>0</v>
      </c>
      <c r="V51" s="6">
        <f t="shared" si="120"/>
        <v>0</v>
      </c>
      <c r="W51" s="7">
        <f>+MAX(Carga!$D$10,MIN(Carga!$F$10,Carga!$E$10+$C51))</f>
        <v>0.2969</v>
      </c>
      <c r="X51" s="6">
        <f t="shared" si="121"/>
        <v>0</v>
      </c>
      <c r="Y51" s="6">
        <f t="shared" si="122"/>
        <v>0</v>
      </c>
      <c r="Z51" s="6">
        <f>MIN(SUM(X$4:X51)-SUM(Z$4:Z50),U51)</f>
        <v>0</v>
      </c>
      <c r="AA51" s="6">
        <f t="shared" si="123"/>
        <v>0</v>
      </c>
      <c r="AC51" s="6">
        <f t="shared" si="124"/>
        <v>0</v>
      </c>
      <c r="AD51" s="6">
        <f t="shared" si="125"/>
        <v>100</v>
      </c>
      <c r="AE51" s="7" t="b">
        <f>IF(MAX(AC52:AC$65)&gt;0,FALSE,TRUE)</f>
        <v>1</v>
      </c>
      <c r="AF51" s="6">
        <f t="shared" si="126"/>
        <v>0</v>
      </c>
      <c r="AG51" s="6">
        <f t="shared" si="127"/>
        <v>0</v>
      </c>
      <c r="AH51" s="6">
        <f t="shared" si="128"/>
        <v>0</v>
      </c>
      <c r="AJ51" s="6">
        <f t="shared" si="129"/>
        <v>-44061</v>
      </c>
      <c r="AL51" s="6">
        <f t="shared" si="130"/>
        <v>0</v>
      </c>
      <c r="AM51" s="6" t="e">
        <f t="shared" si="131"/>
        <v>#NUM!</v>
      </c>
      <c r="AN51" s="6" t="e">
        <f t="shared" si="132"/>
        <v>#NUM!</v>
      </c>
      <c r="AP51" s="6">
        <f t="shared" si="133"/>
        <v>0</v>
      </c>
      <c r="AQ51" s="6" t="e">
        <f t="shared" si="134"/>
        <v>#NUM!</v>
      </c>
      <c r="AR51" s="6" t="e">
        <f t="shared" si="135"/>
        <v>#NUM!</v>
      </c>
      <c r="AT51" s="6">
        <f t="shared" si="136"/>
        <v>0</v>
      </c>
      <c r="AU51" s="6" t="e">
        <f t="shared" si="137"/>
        <v>#NUM!</v>
      </c>
      <c r="AV51" s="6" t="e">
        <f t="shared" si="138"/>
        <v>#NUM!</v>
      </c>
      <c r="AX51" s="6">
        <f t="shared" si="139"/>
        <v>0</v>
      </c>
      <c r="AY51" s="6" t="e">
        <f t="shared" si="140"/>
        <v>#NUM!</v>
      </c>
      <c r="AZ51" s="6" t="e">
        <f t="shared" si="141"/>
        <v>#NUM!</v>
      </c>
      <c r="BB51" s="6">
        <f t="shared" si="142"/>
        <v>0</v>
      </c>
      <c r="BC51" s="6">
        <f t="shared" si="143"/>
        <v>0</v>
      </c>
      <c r="BD51" s="6">
        <f t="shared" si="144"/>
        <v>0</v>
      </c>
      <c r="BE51" s="6">
        <f t="shared" si="145"/>
        <v>0</v>
      </c>
      <c r="BG51" s="6" t="e">
        <f t="shared" si="146"/>
        <v>#DIV/0!</v>
      </c>
      <c r="BH51" s="6" t="e">
        <f t="shared" si="147"/>
        <v>#DIV/0!</v>
      </c>
      <c r="BI51" s="6">
        <f t="shared" ca="1" si="148"/>
        <v>0</v>
      </c>
      <c r="BJ51" s="6">
        <f>+SUM(E$40:E51)</f>
        <v>0</v>
      </c>
      <c r="BK51" s="6">
        <f>+SUM(J$40:J51)+F51</f>
        <v>0</v>
      </c>
      <c r="BL51" s="6">
        <f>+SUM(R$40:R51)+N51</f>
        <v>0</v>
      </c>
      <c r="BM51" s="6">
        <f>+SUM(Z$40:Z51)+V51</f>
        <v>0</v>
      </c>
      <c r="BN51" s="7" t="e">
        <f t="shared" si="149"/>
        <v>#DIV/0!</v>
      </c>
      <c r="BO51" s="7" t="e">
        <f t="shared" si="150"/>
        <v>#DIV/0!</v>
      </c>
      <c r="BP51" s="7" t="e">
        <f t="shared" si="151"/>
        <v>#DIV/0!</v>
      </c>
      <c r="BQ51" s="7" t="e">
        <f t="shared" si="152"/>
        <v>#DIV/0!</v>
      </c>
      <c r="BR51" s="7" t="e">
        <f t="shared" si="153"/>
        <v>#DIV/0!</v>
      </c>
      <c r="BS51" s="7" t="e">
        <f t="shared" si="154"/>
        <v>#DIV/0!</v>
      </c>
      <c r="BT51" s="31" t="e">
        <f t="shared" si="155"/>
        <v>#DIV/0!</v>
      </c>
      <c r="BU51" s="31" t="e">
        <f t="shared" si="156"/>
        <v>#DIV/0!</v>
      </c>
      <c r="BV51" s="31" t="e">
        <f t="shared" si="157"/>
        <v>#DIV/0!</v>
      </c>
      <c r="BW51" s="5">
        <f t="shared" si="158"/>
        <v>0</v>
      </c>
    </row>
    <row r="52" spans="2:75" x14ac:dyDescent="0.25">
      <c r="B52" s="13">
        <f>Carga!J52</f>
        <v>0</v>
      </c>
      <c r="C52" s="16">
        <f>Carga!$L52</f>
        <v>0.2969</v>
      </c>
      <c r="E52" s="15">
        <f>Carga!K52</f>
        <v>0</v>
      </c>
      <c r="F52" s="15">
        <f t="shared" si="110"/>
        <v>0</v>
      </c>
      <c r="G52" s="16">
        <f>+MAX(Carga!$D$8,MIN(Carga!$F$8,Carga!$E$8+$C52))</f>
        <v>0.30690000000000001</v>
      </c>
      <c r="H52" s="15">
        <f t="shared" si="111"/>
        <v>0</v>
      </c>
      <c r="I52" s="15">
        <f t="shared" si="112"/>
        <v>0</v>
      </c>
      <c r="J52" s="15">
        <f>MIN(SUM(H$4:H52)-SUM(J$4:J51),E52)</f>
        <v>0</v>
      </c>
      <c r="K52" s="15">
        <f t="shared" si="113"/>
        <v>0</v>
      </c>
      <c r="M52" s="15">
        <f t="shared" si="114"/>
        <v>0</v>
      </c>
      <c r="N52" s="15">
        <f t="shared" si="115"/>
        <v>0</v>
      </c>
      <c r="O52" s="16">
        <f>+MAX(Carga!$D$9,MIN(Carga!$F$9,Carga!$E$9+$C52))</f>
        <v>0.32689999999999997</v>
      </c>
      <c r="P52" s="15">
        <f t="shared" si="116"/>
        <v>0</v>
      </c>
      <c r="Q52" s="15">
        <f t="shared" si="117"/>
        <v>0</v>
      </c>
      <c r="R52" s="15">
        <f>MIN(SUM(P$4:P52)-SUM(R$4:R51),M52)</f>
        <v>0</v>
      </c>
      <c r="S52" s="15">
        <f t="shared" si="118"/>
        <v>0</v>
      </c>
      <c r="U52" s="15">
        <f t="shared" si="119"/>
        <v>0</v>
      </c>
      <c r="V52" s="15">
        <f t="shared" si="120"/>
        <v>0</v>
      </c>
      <c r="W52" s="16">
        <f>+MAX(Carga!$D$10,MIN(Carga!$F$10,Carga!$E$10+$C52))</f>
        <v>0.2969</v>
      </c>
      <c r="X52" s="15">
        <f t="shared" si="121"/>
        <v>0</v>
      </c>
      <c r="Y52" s="15">
        <f t="shared" si="122"/>
        <v>0</v>
      </c>
      <c r="Z52" s="15">
        <f>MIN(SUM(X$4:X52)-SUM(Z$4:Z51),U52)</f>
        <v>0</v>
      </c>
      <c r="AA52" s="15">
        <f t="shared" si="123"/>
        <v>0</v>
      </c>
      <c r="AC52" s="15">
        <f t="shared" si="124"/>
        <v>0</v>
      </c>
      <c r="AD52" s="15">
        <f t="shared" si="125"/>
        <v>100</v>
      </c>
      <c r="AE52" s="14" t="b">
        <f>IF(MAX(AC$65:AC73)&gt;0,FALSE,TRUE)</f>
        <v>0</v>
      </c>
      <c r="AF52" s="15">
        <f t="shared" si="126"/>
        <v>0</v>
      </c>
      <c r="AG52" s="15">
        <f t="shared" si="127"/>
        <v>0</v>
      </c>
      <c r="AH52" s="15">
        <f t="shared" si="128"/>
        <v>0</v>
      </c>
      <c r="AJ52" s="14">
        <f t="shared" si="129"/>
        <v>-44061</v>
      </c>
      <c r="AL52" s="15">
        <f t="shared" si="130"/>
        <v>0</v>
      </c>
      <c r="AM52" s="15" t="e">
        <f t="shared" si="131"/>
        <v>#NUM!</v>
      </c>
      <c r="AN52" s="14" t="e">
        <f t="shared" si="132"/>
        <v>#NUM!</v>
      </c>
      <c r="AP52" s="15">
        <f t="shared" si="133"/>
        <v>0</v>
      </c>
      <c r="AQ52" s="15" t="e">
        <f t="shared" si="134"/>
        <v>#NUM!</v>
      </c>
      <c r="AR52" s="15" t="e">
        <f t="shared" si="135"/>
        <v>#NUM!</v>
      </c>
      <c r="AT52" s="15">
        <f t="shared" si="136"/>
        <v>0</v>
      </c>
      <c r="AU52" s="15" t="e">
        <f t="shared" si="137"/>
        <v>#NUM!</v>
      </c>
      <c r="AV52" s="15" t="e">
        <f t="shared" si="138"/>
        <v>#NUM!</v>
      </c>
      <c r="AX52" s="15">
        <f t="shared" si="139"/>
        <v>0</v>
      </c>
      <c r="AY52" s="15" t="e">
        <f t="shared" si="140"/>
        <v>#NUM!</v>
      </c>
      <c r="AZ52" s="15" t="e">
        <f t="shared" si="141"/>
        <v>#NUM!</v>
      </c>
      <c r="BB52" s="15">
        <f t="shared" si="142"/>
        <v>0</v>
      </c>
      <c r="BC52" s="15">
        <f t="shared" si="143"/>
        <v>0</v>
      </c>
      <c r="BD52" s="15">
        <f t="shared" si="144"/>
        <v>0</v>
      </c>
      <c r="BE52" s="15">
        <f t="shared" si="145"/>
        <v>0</v>
      </c>
      <c r="BG52" s="15" t="e">
        <f t="shared" si="146"/>
        <v>#DIV/0!</v>
      </c>
      <c r="BH52" s="15" t="e">
        <f t="shared" si="147"/>
        <v>#DIV/0!</v>
      </c>
      <c r="BI52" s="15">
        <f t="shared" ca="1" si="148"/>
        <v>0</v>
      </c>
      <c r="BJ52" s="15">
        <f>+SUM(E$40:E52)</f>
        <v>0</v>
      </c>
      <c r="BK52" s="15">
        <f>+SUM(J$40:J52)+F52</f>
        <v>0</v>
      </c>
      <c r="BL52" s="15">
        <f>+SUM(R$40:R52)+N52</f>
        <v>0</v>
      </c>
      <c r="BM52" s="15">
        <f>+SUM(Z$40:Z52)+V52</f>
        <v>0</v>
      </c>
      <c r="BN52" s="16" t="e">
        <f t="shared" si="149"/>
        <v>#DIV/0!</v>
      </c>
      <c r="BO52" s="16" t="e">
        <f t="shared" si="150"/>
        <v>#DIV/0!</v>
      </c>
      <c r="BP52" s="16" t="e">
        <f t="shared" si="151"/>
        <v>#DIV/0!</v>
      </c>
      <c r="BQ52" s="16" t="e">
        <f t="shared" si="152"/>
        <v>#DIV/0!</v>
      </c>
      <c r="BR52" s="16" t="e">
        <f t="shared" si="153"/>
        <v>#DIV/0!</v>
      </c>
      <c r="BS52" s="16" t="e">
        <f t="shared" si="154"/>
        <v>#DIV/0!</v>
      </c>
      <c r="BT52" s="32" t="e">
        <f t="shared" si="155"/>
        <v>#DIV/0!</v>
      </c>
      <c r="BU52" s="32" t="e">
        <f t="shared" si="156"/>
        <v>#DIV/0!</v>
      </c>
      <c r="BV52" s="32" t="e">
        <f t="shared" si="157"/>
        <v>#DIV/0!</v>
      </c>
      <c r="BW52" s="13">
        <f t="shared" si="158"/>
        <v>0</v>
      </c>
    </row>
    <row r="53" spans="2:75" x14ac:dyDescent="0.25">
      <c r="B53" s="5">
        <f>Carga!J53</f>
        <v>0</v>
      </c>
      <c r="C53" s="7">
        <f>Carga!$L53</f>
        <v>0.2969</v>
      </c>
      <c r="E53" s="6">
        <f>Carga!K53</f>
        <v>0</v>
      </c>
      <c r="F53" s="6">
        <f t="shared" si="110"/>
        <v>0</v>
      </c>
      <c r="G53" s="7">
        <f>+MAX(Carga!$D$8,MIN(Carga!$F$8,Carga!$E$8+$C53))</f>
        <v>0.30690000000000001</v>
      </c>
      <c r="H53" s="6">
        <f t="shared" si="111"/>
        <v>0</v>
      </c>
      <c r="I53" s="6">
        <f t="shared" si="112"/>
        <v>0</v>
      </c>
      <c r="J53" s="6">
        <f>MIN(SUM(H$4:H53)-SUM(J$4:J52),E53)</f>
        <v>0</v>
      </c>
      <c r="K53" s="6">
        <f t="shared" si="113"/>
        <v>0</v>
      </c>
      <c r="M53" s="6">
        <f t="shared" si="114"/>
        <v>0</v>
      </c>
      <c r="N53" s="6">
        <f t="shared" si="115"/>
        <v>0</v>
      </c>
      <c r="O53" s="7">
        <f>+MAX(Carga!$D$9,MIN(Carga!$F$9,Carga!$E$9+$C53))</f>
        <v>0.32689999999999997</v>
      </c>
      <c r="P53" s="6">
        <f t="shared" si="116"/>
        <v>0</v>
      </c>
      <c r="Q53" s="6">
        <f t="shared" si="117"/>
        <v>0</v>
      </c>
      <c r="R53" s="6">
        <f>MIN(SUM(P$4:P53)-SUM(R$4:R52),M53)</f>
        <v>0</v>
      </c>
      <c r="S53" s="6">
        <f t="shared" si="118"/>
        <v>0</v>
      </c>
      <c r="U53" s="6">
        <f t="shared" si="119"/>
        <v>0</v>
      </c>
      <c r="V53" s="6">
        <f t="shared" si="120"/>
        <v>0</v>
      </c>
      <c r="W53" s="7">
        <f>+MAX(Carga!$D$10,MIN(Carga!$F$10,Carga!$E$10+$C53))</f>
        <v>0.2969</v>
      </c>
      <c r="X53" s="6">
        <f t="shared" si="121"/>
        <v>0</v>
      </c>
      <c r="Y53" s="6">
        <f t="shared" si="122"/>
        <v>0</v>
      </c>
      <c r="Z53" s="6">
        <f>MIN(SUM(X$4:X53)-SUM(Z$4:Z52),U53)</f>
        <v>0</v>
      </c>
      <c r="AA53" s="6">
        <f t="shared" si="123"/>
        <v>0</v>
      </c>
      <c r="AC53" s="6">
        <f t="shared" si="124"/>
        <v>0</v>
      </c>
      <c r="AD53" s="6">
        <f t="shared" si="125"/>
        <v>100</v>
      </c>
      <c r="AE53" s="7" t="b">
        <f>IF(MAX(AC54:AC$65)&gt;0,FALSE,TRUE)</f>
        <v>1</v>
      </c>
      <c r="AF53" s="6">
        <f t="shared" si="126"/>
        <v>0</v>
      </c>
      <c r="AG53" s="6">
        <f t="shared" si="127"/>
        <v>0</v>
      </c>
      <c r="AH53" s="6">
        <f t="shared" si="128"/>
        <v>0</v>
      </c>
      <c r="AJ53" s="6">
        <f t="shared" si="129"/>
        <v>-44061</v>
      </c>
      <c r="AL53" s="6">
        <f t="shared" si="130"/>
        <v>0</v>
      </c>
      <c r="AM53" s="6" t="e">
        <f t="shared" si="131"/>
        <v>#NUM!</v>
      </c>
      <c r="AN53" s="6" t="e">
        <f t="shared" si="132"/>
        <v>#NUM!</v>
      </c>
      <c r="AP53" s="6">
        <f t="shared" si="133"/>
        <v>0</v>
      </c>
      <c r="AQ53" s="6" t="e">
        <f t="shared" si="134"/>
        <v>#NUM!</v>
      </c>
      <c r="AR53" s="6" t="e">
        <f t="shared" si="135"/>
        <v>#NUM!</v>
      </c>
      <c r="AT53" s="6">
        <f t="shared" si="136"/>
        <v>0</v>
      </c>
      <c r="AU53" s="6" t="e">
        <f t="shared" si="137"/>
        <v>#NUM!</v>
      </c>
      <c r="AV53" s="6" t="e">
        <f t="shared" si="138"/>
        <v>#NUM!</v>
      </c>
      <c r="AX53" s="6">
        <f t="shared" si="139"/>
        <v>0</v>
      </c>
      <c r="AY53" s="6" t="e">
        <f t="shared" si="140"/>
        <v>#NUM!</v>
      </c>
      <c r="AZ53" s="6" t="e">
        <f t="shared" si="141"/>
        <v>#NUM!</v>
      </c>
      <c r="BB53" s="6">
        <f t="shared" si="142"/>
        <v>0</v>
      </c>
      <c r="BC53" s="6">
        <f t="shared" si="143"/>
        <v>0</v>
      </c>
      <c r="BD53" s="6">
        <f t="shared" si="144"/>
        <v>0</v>
      </c>
      <c r="BE53" s="6">
        <f t="shared" si="145"/>
        <v>0</v>
      </c>
      <c r="BG53" s="6" t="e">
        <f t="shared" si="146"/>
        <v>#DIV/0!</v>
      </c>
      <c r="BH53" s="6" t="e">
        <f t="shared" si="147"/>
        <v>#DIV/0!</v>
      </c>
      <c r="BI53" s="6">
        <f t="shared" ca="1" si="148"/>
        <v>0</v>
      </c>
      <c r="BJ53" s="6">
        <f>+SUM(E$40:E53)</f>
        <v>0</v>
      </c>
      <c r="BK53" s="6">
        <f>+SUM(J$40:J53)+F53</f>
        <v>0</v>
      </c>
      <c r="BL53" s="6">
        <f>+SUM(R$40:R53)+N53</f>
        <v>0</v>
      </c>
      <c r="BM53" s="6">
        <f>+SUM(Z$40:Z53)+V53</f>
        <v>0</v>
      </c>
      <c r="BN53" s="7" t="e">
        <f t="shared" si="149"/>
        <v>#DIV/0!</v>
      </c>
      <c r="BO53" s="7" t="e">
        <f t="shared" si="150"/>
        <v>#DIV/0!</v>
      </c>
      <c r="BP53" s="7" t="e">
        <f t="shared" si="151"/>
        <v>#DIV/0!</v>
      </c>
      <c r="BQ53" s="7" t="e">
        <f t="shared" si="152"/>
        <v>#DIV/0!</v>
      </c>
      <c r="BR53" s="7" t="e">
        <f t="shared" si="153"/>
        <v>#DIV/0!</v>
      </c>
      <c r="BS53" s="7" t="e">
        <f t="shared" si="154"/>
        <v>#DIV/0!</v>
      </c>
      <c r="BT53" s="31" t="e">
        <f t="shared" si="155"/>
        <v>#DIV/0!</v>
      </c>
      <c r="BU53" s="31" t="e">
        <f t="shared" si="156"/>
        <v>#DIV/0!</v>
      </c>
      <c r="BV53" s="31" t="e">
        <f t="shared" si="157"/>
        <v>#DIV/0!</v>
      </c>
      <c r="BW53" s="5">
        <f t="shared" si="158"/>
        <v>0</v>
      </c>
    </row>
    <row r="54" spans="2:75" x14ac:dyDescent="0.25">
      <c r="B54" s="13">
        <f>Carga!J54</f>
        <v>0</v>
      </c>
      <c r="C54" s="16">
        <f>Carga!$L54</f>
        <v>0.2969</v>
      </c>
      <c r="E54" s="15">
        <f>Carga!K54</f>
        <v>0</v>
      </c>
      <c r="F54" s="15">
        <f t="shared" si="110"/>
        <v>0</v>
      </c>
      <c r="G54" s="16">
        <f>+MAX(Carga!$D$8,MIN(Carga!$F$8,Carga!$E$8+$C54))</f>
        <v>0.30690000000000001</v>
      </c>
      <c r="H54" s="15">
        <f t="shared" si="111"/>
        <v>0</v>
      </c>
      <c r="I54" s="15">
        <f t="shared" si="112"/>
        <v>0</v>
      </c>
      <c r="J54" s="15">
        <f>MIN(SUM(H$4:H54)-SUM(J$4:J53),E54)</f>
        <v>0</v>
      </c>
      <c r="K54" s="15">
        <f t="shared" si="113"/>
        <v>0</v>
      </c>
      <c r="M54" s="15">
        <f t="shared" si="114"/>
        <v>0</v>
      </c>
      <c r="N54" s="15">
        <f t="shared" si="115"/>
        <v>0</v>
      </c>
      <c r="O54" s="16">
        <f>+MAX(Carga!$D$9,MIN(Carga!$F$9,Carga!$E$9+$C54))</f>
        <v>0.32689999999999997</v>
      </c>
      <c r="P54" s="15">
        <f t="shared" si="116"/>
        <v>0</v>
      </c>
      <c r="Q54" s="15">
        <f t="shared" si="117"/>
        <v>0</v>
      </c>
      <c r="R54" s="15">
        <f>MIN(SUM(P$4:P54)-SUM(R$4:R53),M54)</f>
        <v>0</v>
      </c>
      <c r="S54" s="15">
        <f t="shared" si="118"/>
        <v>0</v>
      </c>
      <c r="U54" s="15">
        <f t="shared" si="119"/>
        <v>0</v>
      </c>
      <c r="V54" s="15">
        <f t="shared" si="120"/>
        <v>0</v>
      </c>
      <c r="W54" s="16">
        <f>+MAX(Carga!$D$10,MIN(Carga!$F$10,Carga!$E$10+$C54))</f>
        <v>0.2969</v>
      </c>
      <c r="X54" s="15">
        <f t="shared" si="121"/>
        <v>0</v>
      </c>
      <c r="Y54" s="15">
        <f t="shared" si="122"/>
        <v>0</v>
      </c>
      <c r="Z54" s="15">
        <f>MIN(SUM(X$4:X54)-SUM(Z$4:Z53),U54)</f>
        <v>0</v>
      </c>
      <c r="AA54" s="15">
        <f t="shared" si="123"/>
        <v>0</v>
      </c>
      <c r="AC54" s="15">
        <f t="shared" si="124"/>
        <v>0</v>
      </c>
      <c r="AD54" s="15">
        <f t="shared" si="125"/>
        <v>100</v>
      </c>
      <c r="AE54" s="14" t="b">
        <f>IF(MAX(AC$65:AC75)&gt;0,FALSE,TRUE)</f>
        <v>0</v>
      </c>
      <c r="AF54" s="15">
        <f t="shared" si="126"/>
        <v>0</v>
      </c>
      <c r="AG54" s="15">
        <f t="shared" si="127"/>
        <v>0</v>
      </c>
      <c r="AH54" s="15">
        <f t="shared" si="128"/>
        <v>0</v>
      </c>
      <c r="AJ54" s="14">
        <f t="shared" si="129"/>
        <v>-44061</v>
      </c>
      <c r="AL54" s="15">
        <f t="shared" si="130"/>
        <v>0</v>
      </c>
      <c r="AM54" s="15" t="e">
        <f t="shared" si="131"/>
        <v>#NUM!</v>
      </c>
      <c r="AN54" s="14" t="e">
        <f t="shared" si="132"/>
        <v>#NUM!</v>
      </c>
      <c r="AP54" s="15">
        <f t="shared" si="133"/>
        <v>0</v>
      </c>
      <c r="AQ54" s="15" t="e">
        <f t="shared" si="134"/>
        <v>#NUM!</v>
      </c>
      <c r="AR54" s="15" t="e">
        <f t="shared" si="135"/>
        <v>#NUM!</v>
      </c>
      <c r="AT54" s="15">
        <f t="shared" si="136"/>
        <v>0</v>
      </c>
      <c r="AU54" s="15" t="e">
        <f t="shared" si="137"/>
        <v>#NUM!</v>
      </c>
      <c r="AV54" s="15" t="e">
        <f t="shared" si="138"/>
        <v>#NUM!</v>
      </c>
      <c r="AX54" s="15">
        <f t="shared" si="139"/>
        <v>0</v>
      </c>
      <c r="AY54" s="15" t="e">
        <f t="shared" si="140"/>
        <v>#NUM!</v>
      </c>
      <c r="AZ54" s="15" t="e">
        <f t="shared" si="141"/>
        <v>#NUM!</v>
      </c>
      <c r="BB54" s="15">
        <f t="shared" si="142"/>
        <v>0</v>
      </c>
      <c r="BC54" s="15">
        <f t="shared" si="143"/>
        <v>0</v>
      </c>
      <c r="BD54" s="15">
        <f t="shared" si="144"/>
        <v>0</v>
      </c>
      <c r="BE54" s="15">
        <f t="shared" si="145"/>
        <v>0</v>
      </c>
      <c r="BG54" s="15" t="e">
        <f t="shared" si="146"/>
        <v>#DIV/0!</v>
      </c>
      <c r="BH54" s="15" t="e">
        <f t="shared" si="147"/>
        <v>#DIV/0!</v>
      </c>
      <c r="BI54" s="15">
        <f t="shared" ca="1" si="148"/>
        <v>0</v>
      </c>
      <c r="BJ54" s="15">
        <f>+SUM(E$40:E54)</f>
        <v>0</v>
      </c>
      <c r="BK54" s="15">
        <f>+SUM(J$40:J54)+F54</f>
        <v>0</v>
      </c>
      <c r="BL54" s="15">
        <f>+SUM(R$40:R54)+N54</f>
        <v>0</v>
      </c>
      <c r="BM54" s="15">
        <f>+SUM(Z$40:Z54)+V54</f>
        <v>0</v>
      </c>
      <c r="BN54" s="16" t="e">
        <f t="shared" si="149"/>
        <v>#DIV/0!</v>
      </c>
      <c r="BO54" s="16" t="e">
        <f t="shared" si="150"/>
        <v>#DIV/0!</v>
      </c>
      <c r="BP54" s="16" t="e">
        <f t="shared" si="151"/>
        <v>#DIV/0!</v>
      </c>
      <c r="BQ54" s="16" t="e">
        <f t="shared" si="152"/>
        <v>#DIV/0!</v>
      </c>
      <c r="BR54" s="16" t="e">
        <f t="shared" si="153"/>
        <v>#DIV/0!</v>
      </c>
      <c r="BS54" s="16" t="e">
        <f t="shared" si="154"/>
        <v>#DIV/0!</v>
      </c>
      <c r="BT54" s="32" t="e">
        <f t="shared" si="155"/>
        <v>#DIV/0!</v>
      </c>
      <c r="BU54" s="32" t="e">
        <f t="shared" si="156"/>
        <v>#DIV/0!</v>
      </c>
      <c r="BV54" s="32" t="e">
        <f t="shared" si="157"/>
        <v>#DIV/0!</v>
      </c>
      <c r="BW54" s="13">
        <f t="shared" si="158"/>
        <v>0</v>
      </c>
    </row>
    <row r="55" spans="2:75" x14ac:dyDescent="0.25">
      <c r="B55" s="5">
        <f>Carga!J55</f>
        <v>0</v>
      </c>
      <c r="C55" s="7">
        <f>Carga!$L55</f>
        <v>0.2969</v>
      </c>
      <c r="E55" s="6">
        <f>Carga!K55</f>
        <v>0</v>
      </c>
      <c r="F55" s="6">
        <f t="shared" si="110"/>
        <v>0</v>
      </c>
      <c r="G55" s="7">
        <f>+MAX(Carga!$D$8,MIN(Carga!$F$8,Carga!$E$8+$C55))</f>
        <v>0.30690000000000001</v>
      </c>
      <c r="H55" s="6">
        <f t="shared" si="111"/>
        <v>0</v>
      </c>
      <c r="I55" s="6">
        <f t="shared" si="112"/>
        <v>0</v>
      </c>
      <c r="J55" s="6">
        <f>MIN(SUM(H$4:H55)-SUM(J$4:J54),E55)</f>
        <v>0</v>
      </c>
      <c r="K55" s="6">
        <f t="shared" si="113"/>
        <v>0</v>
      </c>
      <c r="M55" s="6">
        <f t="shared" si="114"/>
        <v>0</v>
      </c>
      <c r="N55" s="6">
        <f t="shared" si="115"/>
        <v>0</v>
      </c>
      <c r="O55" s="7">
        <f>+MAX(Carga!$D$9,MIN(Carga!$F$9,Carga!$E$9+$C55))</f>
        <v>0.32689999999999997</v>
      </c>
      <c r="P55" s="6">
        <f t="shared" si="116"/>
        <v>0</v>
      </c>
      <c r="Q55" s="6">
        <f t="shared" si="117"/>
        <v>0</v>
      </c>
      <c r="R55" s="6">
        <f>MIN(SUM(P$4:P55)-SUM(R$4:R54),M55)</f>
        <v>0</v>
      </c>
      <c r="S55" s="6">
        <f t="shared" si="118"/>
        <v>0</v>
      </c>
      <c r="U55" s="6">
        <f t="shared" si="119"/>
        <v>0</v>
      </c>
      <c r="V55" s="6">
        <f t="shared" si="120"/>
        <v>0</v>
      </c>
      <c r="W55" s="7">
        <f>+MAX(Carga!$D$10,MIN(Carga!$F$10,Carga!$E$10+$C55))</f>
        <v>0.2969</v>
      </c>
      <c r="X55" s="6">
        <f t="shared" si="121"/>
        <v>0</v>
      </c>
      <c r="Y55" s="6">
        <f t="shared" si="122"/>
        <v>0</v>
      </c>
      <c r="Z55" s="6">
        <f>MIN(SUM(X$4:X55)-SUM(Z$4:Z54),U55)</f>
        <v>0</v>
      </c>
      <c r="AA55" s="6">
        <f t="shared" si="123"/>
        <v>0</v>
      </c>
      <c r="AC55" s="6">
        <f t="shared" si="124"/>
        <v>0</v>
      </c>
      <c r="AD55" s="6">
        <f t="shared" si="125"/>
        <v>100</v>
      </c>
      <c r="AE55" s="7" t="b">
        <f>IF(MAX(AC56:AC$65)&gt;0,FALSE,TRUE)</f>
        <v>1</v>
      </c>
      <c r="AF55" s="6">
        <f t="shared" si="126"/>
        <v>0</v>
      </c>
      <c r="AG55" s="6">
        <f t="shared" si="127"/>
        <v>0</v>
      </c>
      <c r="AH55" s="6">
        <f t="shared" si="128"/>
        <v>0</v>
      </c>
      <c r="AJ55" s="6">
        <f t="shared" si="129"/>
        <v>-44061</v>
      </c>
      <c r="AL55" s="6">
        <f t="shared" si="130"/>
        <v>0</v>
      </c>
      <c r="AM55" s="6" t="e">
        <f t="shared" si="131"/>
        <v>#NUM!</v>
      </c>
      <c r="AN55" s="6" t="e">
        <f t="shared" si="132"/>
        <v>#NUM!</v>
      </c>
      <c r="AP55" s="6">
        <f t="shared" si="133"/>
        <v>0</v>
      </c>
      <c r="AQ55" s="6" t="e">
        <f t="shared" si="134"/>
        <v>#NUM!</v>
      </c>
      <c r="AR55" s="6" t="e">
        <f t="shared" si="135"/>
        <v>#NUM!</v>
      </c>
      <c r="AT55" s="6">
        <f t="shared" si="136"/>
        <v>0</v>
      </c>
      <c r="AU55" s="6" t="e">
        <f t="shared" si="137"/>
        <v>#NUM!</v>
      </c>
      <c r="AV55" s="6" t="e">
        <f t="shared" si="138"/>
        <v>#NUM!</v>
      </c>
      <c r="AX55" s="6">
        <f t="shared" si="139"/>
        <v>0</v>
      </c>
      <c r="AY55" s="6" t="e">
        <f t="shared" si="140"/>
        <v>#NUM!</v>
      </c>
      <c r="AZ55" s="6" t="e">
        <f t="shared" si="141"/>
        <v>#NUM!</v>
      </c>
      <c r="BB55" s="6">
        <f t="shared" si="142"/>
        <v>0</v>
      </c>
      <c r="BC55" s="6">
        <f t="shared" si="143"/>
        <v>0</v>
      </c>
      <c r="BD55" s="6">
        <f t="shared" si="144"/>
        <v>0</v>
      </c>
      <c r="BE55" s="6">
        <f t="shared" si="145"/>
        <v>0</v>
      </c>
      <c r="BG55" s="6" t="e">
        <f t="shared" si="146"/>
        <v>#DIV/0!</v>
      </c>
      <c r="BH55" s="6" t="e">
        <f t="shared" si="147"/>
        <v>#DIV/0!</v>
      </c>
      <c r="BI55" s="6">
        <f t="shared" ca="1" si="148"/>
        <v>0</v>
      </c>
      <c r="BJ55" s="6">
        <f>+SUM(E$40:E55)</f>
        <v>0</v>
      </c>
      <c r="BK55" s="6">
        <f>+SUM(J$40:J55)+F55</f>
        <v>0</v>
      </c>
      <c r="BL55" s="6">
        <f>+SUM(R$40:R55)+N55</f>
        <v>0</v>
      </c>
      <c r="BM55" s="6">
        <f>+SUM(Z$40:Z55)+V55</f>
        <v>0</v>
      </c>
      <c r="BN55" s="7" t="e">
        <f t="shared" si="149"/>
        <v>#DIV/0!</v>
      </c>
      <c r="BO55" s="7" t="e">
        <f t="shared" si="150"/>
        <v>#DIV/0!</v>
      </c>
      <c r="BP55" s="7" t="e">
        <f t="shared" si="151"/>
        <v>#DIV/0!</v>
      </c>
      <c r="BQ55" s="7" t="e">
        <f t="shared" si="152"/>
        <v>#DIV/0!</v>
      </c>
      <c r="BR55" s="7" t="e">
        <f t="shared" si="153"/>
        <v>#DIV/0!</v>
      </c>
      <c r="BS55" s="7" t="e">
        <f t="shared" si="154"/>
        <v>#DIV/0!</v>
      </c>
      <c r="BT55" s="31" t="e">
        <f t="shared" si="155"/>
        <v>#DIV/0!</v>
      </c>
      <c r="BU55" s="31" t="e">
        <f t="shared" si="156"/>
        <v>#DIV/0!</v>
      </c>
      <c r="BV55" s="31" t="e">
        <f t="shared" si="157"/>
        <v>#DIV/0!</v>
      </c>
      <c r="BW55" s="5">
        <f t="shared" si="158"/>
        <v>0</v>
      </c>
    </row>
    <row r="56" spans="2:75" x14ac:dyDescent="0.25">
      <c r="B56" s="13">
        <f>Carga!J56</f>
        <v>0</v>
      </c>
      <c r="C56" s="16">
        <f>Carga!$L56</f>
        <v>0.2969</v>
      </c>
      <c r="E56" s="15">
        <f>Carga!K56</f>
        <v>0</v>
      </c>
      <c r="F56" s="15">
        <f t="shared" si="110"/>
        <v>0</v>
      </c>
      <c r="G56" s="16">
        <f>+MAX(Carga!$D$8,MIN(Carga!$F$8,Carga!$E$8+$C56))</f>
        <v>0.30690000000000001</v>
      </c>
      <c r="H56" s="15">
        <f t="shared" si="111"/>
        <v>0</v>
      </c>
      <c r="I56" s="15">
        <f t="shared" si="112"/>
        <v>0</v>
      </c>
      <c r="J56" s="15">
        <f>MIN(SUM(H$4:H56)-SUM(J$4:J55),E56)</f>
        <v>0</v>
      </c>
      <c r="K56" s="15">
        <f t="shared" si="113"/>
        <v>0</v>
      </c>
      <c r="M56" s="15">
        <f t="shared" si="114"/>
        <v>0</v>
      </c>
      <c r="N56" s="15">
        <f t="shared" si="115"/>
        <v>0</v>
      </c>
      <c r="O56" s="16">
        <f>+MAX(Carga!$D$9,MIN(Carga!$F$9,Carga!$E$9+$C56))</f>
        <v>0.32689999999999997</v>
      </c>
      <c r="P56" s="15">
        <f t="shared" si="116"/>
        <v>0</v>
      </c>
      <c r="Q56" s="15">
        <f t="shared" si="117"/>
        <v>0</v>
      </c>
      <c r="R56" s="15">
        <f>MIN(SUM(P$4:P56)-SUM(R$4:R55),M56)</f>
        <v>0</v>
      </c>
      <c r="S56" s="15">
        <f t="shared" si="118"/>
        <v>0</v>
      </c>
      <c r="U56" s="15">
        <f t="shared" si="119"/>
        <v>0</v>
      </c>
      <c r="V56" s="15">
        <f t="shared" si="120"/>
        <v>0</v>
      </c>
      <c r="W56" s="16">
        <f>+MAX(Carga!$D$10,MIN(Carga!$F$10,Carga!$E$10+$C56))</f>
        <v>0.2969</v>
      </c>
      <c r="X56" s="15">
        <f t="shared" si="121"/>
        <v>0</v>
      </c>
      <c r="Y56" s="15">
        <f t="shared" si="122"/>
        <v>0</v>
      </c>
      <c r="Z56" s="15">
        <f>MIN(SUM(X$4:X56)-SUM(Z$4:Z55),U56)</f>
        <v>0</v>
      </c>
      <c r="AA56" s="15">
        <f t="shared" si="123"/>
        <v>0</v>
      </c>
      <c r="AC56" s="15">
        <f t="shared" si="124"/>
        <v>0</v>
      </c>
      <c r="AD56" s="15">
        <f t="shared" si="125"/>
        <v>100</v>
      </c>
      <c r="AE56" s="14" t="b">
        <f>IF(MAX(AC$65:AC77)&gt;0,FALSE,TRUE)</f>
        <v>0</v>
      </c>
      <c r="AF56" s="15">
        <f t="shared" si="126"/>
        <v>0</v>
      </c>
      <c r="AG56" s="15">
        <f t="shared" si="127"/>
        <v>0</v>
      </c>
      <c r="AH56" s="15">
        <f t="shared" si="128"/>
        <v>0</v>
      </c>
      <c r="AJ56" s="14">
        <f t="shared" si="129"/>
        <v>-44061</v>
      </c>
      <c r="AL56" s="15">
        <f t="shared" si="130"/>
        <v>0</v>
      </c>
      <c r="AM56" s="15" t="e">
        <f t="shared" si="131"/>
        <v>#NUM!</v>
      </c>
      <c r="AN56" s="14" t="e">
        <f t="shared" si="132"/>
        <v>#NUM!</v>
      </c>
      <c r="AP56" s="15">
        <f t="shared" si="133"/>
        <v>0</v>
      </c>
      <c r="AQ56" s="15" t="e">
        <f t="shared" si="134"/>
        <v>#NUM!</v>
      </c>
      <c r="AR56" s="15" t="e">
        <f t="shared" si="135"/>
        <v>#NUM!</v>
      </c>
      <c r="AT56" s="15">
        <f t="shared" si="136"/>
        <v>0</v>
      </c>
      <c r="AU56" s="15" t="e">
        <f t="shared" si="137"/>
        <v>#NUM!</v>
      </c>
      <c r="AV56" s="15" t="e">
        <f t="shared" si="138"/>
        <v>#NUM!</v>
      </c>
      <c r="AX56" s="15">
        <f t="shared" si="139"/>
        <v>0</v>
      </c>
      <c r="AY56" s="15" t="e">
        <f t="shared" si="140"/>
        <v>#NUM!</v>
      </c>
      <c r="AZ56" s="15" t="e">
        <f t="shared" si="141"/>
        <v>#NUM!</v>
      </c>
      <c r="BB56" s="15">
        <f t="shared" si="142"/>
        <v>0</v>
      </c>
      <c r="BC56" s="15">
        <f t="shared" si="143"/>
        <v>0</v>
      </c>
      <c r="BD56" s="15">
        <f t="shared" si="144"/>
        <v>0</v>
      </c>
      <c r="BE56" s="15">
        <f t="shared" si="145"/>
        <v>0</v>
      </c>
      <c r="BG56" s="15" t="e">
        <f t="shared" si="146"/>
        <v>#DIV/0!</v>
      </c>
      <c r="BH56" s="15" t="e">
        <f t="shared" si="147"/>
        <v>#DIV/0!</v>
      </c>
      <c r="BI56" s="15">
        <f t="shared" ca="1" si="148"/>
        <v>0</v>
      </c>
      <c r="BJ56" s="15">
        <f>+SUM(E$40:E56)</f>
        <v>0</v>
      </c>
      <c r="BK56" s="15">
        <f>+SUM(J$40:J56)+F56</f>
        <v>0</v>
      </c>
      <c r="BL56" s="15">
        <f>+SUM(R$40:R56)+N56</f>
        <v>0</v>
      </c>
      <c r="BM56" s="15">
        <f>+SUM(Z$40:Z56)+V56</f>
        <v>0</v>
      </c>
      <c r="BN56" s="16" t="e">
        <f t="shared" si="149"/>
        <v>#DIV/0!</v>
      </c>
      <c r="BO56" s="16" t="e">
        <f t="shared" si="150"/>
        <v>#DIV/0!</v>
      </c>
      <c r="BP56" s="16" t="e">
        <f t="shared" si="151"/>
        <v>#DIV/0!</v>
      </c>
      <c r="BQ56" s="16" t="e">
        <f t="shared" si="152"/>
        <v>#DIV/0!</v>
      </c>
      <c r="BR56" s="16" t="e">
        <f t="shared" si="153"/>
        <v>#DIV/0!</v>
      </c>
      <c r="BS56" s="16" t="e">
        <f t="shared" si="154"/>
        <v>#DIV/0!</v>
      </c>
      <c r="BT56" s="32" t="e">
        <f t="shared" si="155"/>
        <v>#DIV/0!</v>
      </c>
      <c r="BU56" s="32" t="e">
        <f t="shared" si="156"/>
        <v>#DIV/0!</v>
      </c>
      <c r="BV56" s="32" t="e">
        <f t="shared" si="157"/>
        <v>#DIV/0!</v>
      </c>
      <c r="BW56" s="13">
        <f t="shared" si="158"/>
        <v>0</v>
      </c>
    </row>
    <row r="57" spans="2:75" x14ac:dyDescent="0.25">
      <c r="B57" s="5">
        <f>Carga!J57</f>
        <v>0</v>
      </c>
      <c r="C57" s="7">
        <f>Carga!$L57</f>
        <v>0.2969</v>
      </c>
      <c r="E57" s="6">
        <f>Carga!K57</f>
        <v>0</v>
      </c>
      <c r="F57" s="6">
        <f t="shared" si="110"/>
        <v>0</v>
      </c>
      <c r="G57" s="7">
        <f>+MAX(Carga!$D$8,MIN(Carga!$F$8,Carga!$E$8+$C57))</f>
        <v>0.30690000000000001</v>
      </c>
      <c r="H57" s="6">
        <f t="shared" si="111"/>
        <v>0</v>
      </c>
      <c r="I57" s="6">
        <f t="shared" si="112"/>
        <v>0</v>
      </c>
      <c r="J57" s="6">
        <f>MIN(SUM(H$4:H57)-SUM(J$4:J56),E57)</f>
        <v>0</v>
      </c>
      <c r="K57" s="6">
        <f t="shared" si="113"/>
        <v>0</v>
      </c>
      <c r="M57" s="6">
        <f t="shared" si="114"/>
        <v>0</v>
      </c>
      <c r="N57" s="6">
        <f t="shared" si="115"/>
        <v>0</v>
      </c>
      <c r="O57" s="7">
        <f>+MAX(Carga!$D$9,MIN(Carga!$F$9,Carga!$E$9+$C57))</f>
        <v>0.32689999999999997</v>
      </c>
      <c r="P57" s="6">
        <f t="shared" si="116"/>
        <v>0</v>
      </c>
      <c r="Q57" s="6">
        <f t="shared" si="117"/>
        <v>0</v>
      </c>
      <c r="R57" s="6">
        <f>MIN(SUM(P$4:P57)-SUM(R$4:R56),M57)</f>
        <v>0</v>
      </c>
      <c r="S57" s="6">
        <f t="shared" si="118"/>
        <v>0</v>
      </c>
      <c r="U57" s="6">
        <f t="shared" si="119"/>
        <v>0</v>
      </c>
      <c r="V57" s="6">
        <f t="shared" si="120"/>
        <v>0</v>
      </c>
      <c r="W57" s="7">
        <f>+MAX(Carga!$D$10,MIN(Carga!$F$10,Carga!$E$10+$C57))</f>
        <v>0.2969</v>
      </c>
      <c r="X57" s="6">
        <f t="shared" si="121"/>
        <v>0</v>
      </c>
      <c r="Y57" s="6">
        <f t="shared" si="122"/>
        <v>0</v>
      </c>
      <c r="Z57" s="6">
        <f>MIN(SUM(X$4:X57)-SUM(Z$4:Z56),U57)</f>
        <v>0</v>
      </c>
      <c r="AA57" s="6">
        <f t="shared" si="123"/>
        <v>0</v>
      </c>
      <c r="AC57" s="6">
        <f t="shared" si="124"/>
        <v>0</v>
      </c>
      <c r="AD57" s="6">
        <f t="shared" si="125"/>
        <v>100</v>
      </c>
      <c r="AE57" s="7" t="b">
        <f>IF(MAX(AC58:AC$65)&gt;0,FALSE,TRUE)</f>
        <v>1</v>
      </c>
      <c r="AF57" s="6">
        <f t="shared" si="126"/>
        <v>0</v>
      </c>
      <c r="AG57" s="6">
        <f t="shared" si="127"/>
        <v>0</v>
      </c>
      <c r="AH57" s="6">
        <f t="shared" si="128"/>
        <v>0</v>
      </c>
      <c r="AJ57" s="6">
        <f t="shared" si="129"/>
        <v>-44061</v>
      </c>
      <c r="AL57" s="6">
        <f t="shared" si="130"/>
        <v>0</v>
      </c>
      <c r="AM57" s="6" t="e">
        <f t="shared" si="131"/>
        <v>#NUM!</v>
      </c>
      <c r="AN57" s="6" t="e">
        <f t="shared" si="132"/>
        <v>#NUM!</v>
      </c>
      <c r="AP57" s="6">
        <f t="shared" si="133"/>
        <v>0</v>
      </c>
      <c r="AQ57" s="6" t="e">
        <f t="shared" si="134"/>
        <v>#NUM!</v>
      </c>
      <c r="AR57" s="6" t="e">
        <f t="shared" si="135"/>
        <v>#NUM!</v>
      </c>
      <c r="AT57" s="6">
        <f t="shared" si="136"/>
        <v>0</v>
      </c>
      <c r="AU57" s="6" t="e">
        <f t="shared" si="137"/>
        <v>#NUM!</v>
      </c>
      <c r="AV57" s="6" t="e">
        <f t="shared" si="138"/>
        <v>#NUM!</v>
      </c>
      <c r="AX57" s="6">
        <f t="shared" si="139"/>
        <v>0</v>
      </c>
      <c r="AY57" s="6" t="e">
        <f t="shared" si="140"/>
        <v>#NUM!</v>
      </c>
      <c r="AZ57" s="6" t="e">
        <f t="shared" si="141"/>
        <v>#NUM!</v>
      </c>
      <c r="BB57" s="6">
        <f t="shared" si="142"/>
        <v>0</v>
      </c>
      <c r="BC57" s="6">
        <f t="shared" si="143"/>
        <v>0</v>
      </c>
      <c r="BD57" s="6">
        <f t="shared" si="144"/>
        <v>0</v>
      </c>
      <c r="BE57" s="6">
        <f t="shared" si="145"/>
        <v>0</v>
      </c>
      <c r="BG57" s="6" t="e">
        <f t="shared" si="146"/>
        <v>#DIV/0!</v>
      </c>
      <c r="BH57" s="6" t="e">
        <f t="shared" si="147"/>
        <v>#DIV/0!</v>
      </c>
      <c r="BI57" s="6">
        <f t="shared" ca="1" si="148"/>
        <v>0</v>
      </c>
      <c r="BJ57" s="6">
        <f>+SUM(E$40:E57)</f>
        <v>0</v>
      </c>
      <c r="BK57" s="6">
        <f>+SUM(J$40:J57)+F57</f>
        <v>0</v>
      </c>
      <c r="BL57" s="6">
        <f>+SUM(R$40:R57)+N57</f>
        <v>0</v>
      </c>
      <c r="BM57" s="6">
        <f>+SUM(Z$40:Z57)+V57</f>
        <v>0</v>
      </c>
      <c r="BN57" s="7" t="e">
        <f t="shared" si="149"/>
        <v>#DIV/0!</v>
      </c>
      <c r="BO57" s="7" t="e">
        <f t="shared" si="150"/>
        <v>#DIV/0!</v>
      </c>
      <c r="BP57" s="7" t="e">
        <f t="shared" si="151"/>
        <v>#DIV/0!</v>
      </c>
      <c r="BQ57" s="7" t="e">
        <f t="shared" si="152"/>
        <v>#DIV/0!</v>
      </c>
      <c r="BR57" s="7" t="e">
        <f t="shared" si="153"/>
        <v>#DIV/0!</v>
      </c>
      <c r="BS57" s="7" t="e">
        <f t="shared" si="154"/>
        <v>#DIV/0!</v>
      </c>
      <c r="BT57" s="31" t="e">
        <f t="shared" si="155"/>
        <v>#DIV/0!</v>
      </c>
      <c r="BU57" s="31" t="e">
        <f t="shared" si="156"/>
        <v>#DIV/0!</v>
      </c>
      <c r="BV57" s="31" t="e">
        <f t="shared" si="157"/>
        <v>#DIV/0!</v>
      </c>
      <c r="BW57" s="5">
        <f t="shared" si="158"/>
        <v>0</v>
      </c>
    </row>
    <row r="58" spans="2:75" x14ac:dyDescent="0.25">
      <c r="B58" s="13">
        <f>Carga!J58</f>
        <v>0</v>
      </c>
      <c r="C58" s="16">
        <f>Carga!$L58</f>
        <v>0.2969</v>
      </c>
      <c r="E58" s="15">
        <f>Carga!K58</f>
        <v>0</v>
      </c>
      <c r="F58" s="15">
        <f t="shared" si="110"/>
        <v>0</v>
      </c>
      <c r="G58" s="16">
        <f>+MAX(Carga!$D$8,MIN(Carga!$F$8,Carga!$E$8+$C58))</f>
        <v>0.30690000000000001</v>
      </c>
      <c r="H58" s="15">
        <f t="shared" si="111"/>
        <v>0</v>
      </c>
      <c r="I58" s="15">
        <f t="shared" si="112"/>
        <v>0</v>
      </c>
      <c r="J58" s="15">
        <f>MIN(SUM(H$4:H58)-SUM(J$4:J57),E58)</f>
        <v>0</v>
      </c>
      <c r="K58" s="15">
        <f t="shared" si="113"/>
        <v>0</v>
      </c>
      <c r="M58" s="15">
        <f t="shared" si="114"/>
        <v>0</v>
      </c>
      <c r="N58" s="15">
        <f t="shared" si="115"/>
        <v>0</v>
      </c>
      <c r="O58" s="16">
        <f>+MAX(Carga!$D$9,MIN(Carga!$F$9,Carga!$E$9+$C58))</f>
        <v>0.32689999999999997</v>
      </c>
      <c r="P58" s="15">
        <f t="shared" si="116"/>
        <v>0</v>
      </c>
      <c r="Q58" s="15">
        <f t="shared" si="117"/>
        <v>0</v>
      </c>
      <c r="R58" s="15">
        <f>MIN(SUM(P$4:P58)-SUM(R$4:R57),M58)</f>
        <v>0</v>
      </c>
      <c r="S58" s="15">
        <f t="shared" si="118"/>
        <v>0</v>
      </c>
      <c r="U58" s="15">
        <f t="shared" si="119"/>
        <v>0</v>
      </c>
      <c r="V58" s="15">
        <f t="shared" si="120"/>
        <v>0</v>
      </c>
      <c r="W58" s="16">
        <f>+MAX(Carga!$D$10,MIN(Carga!$F$10,Carga!$E$10+$C58))</f>
        <v>0.2969</v>
      </c>
      <c r="X58" s="15">
        <f t="shared" si="121"/>
        <v>0</v>
      </c>
      <c r="Y58" s="15">
        <f t="shared" si="122"/>
        <v>0</v>
      </c>
      <c r="Z58" s="15">
        <f>MIN(SUM(X$4:X58)-SUM(Z$4:Z57),U58)</f>
        <v>0</v>
      </c>
      <c r="AA58" s="15">
        <f t="shared" si="123"/>
        <v>0</v>
      </c>
      <c r="AC58" s="15">
        <f t="shared" si="124"/>
        <v>0</v>
      </c>
      <c r="AD58" s="15">
        <f t="shared" si="125"/>
        <v>100</v>
      </c>
      <c r="AE58" s="14" t="b">
        <f>IF(MAX(AC$65:AC79)&gt;0,FALSE,TRUE)</f>
        <v>0</v>
      </c>
      <c r="AF58" s="15">
        <f t="shared" si="126"/>
        <v>0</v>
      </c>
      <c r="AG58" s="15">
        <f t="shared" si="127"/>
        <v>0</v>
      </c>
      <c r="AH58" s="15">
        <f t="shared" si="128"/>
        <v>0</v>
      </c>
      <c r="AJ58" s="14">
        <f t="shared" si="129"/>
        <v>-44061</v>
      </c>
      <c r="AL58" s="15">
        <f t="shared" si="130"/>
        <v>0</v>
      </c>
      <c r="AM58" s="15" t="e">
        <f t="shared" si="131"/>
        <v>#NUM!</v>
      </c>
      <c r="AN58" s="14" t="e">
        <f t="shared" si="132"/>
        <v>#NUM!</v>
      </c>
      <c r="AP58" s="15">
        <f t="shared" si="133"/>
        <v>0</v>
      </c>
      <c r="AQ58" s="15" t="e">
        <f t="shared" si="134"/>
        <v>#NUM!</v>
      </c>
      <c r="AR58" s="15" t="e">
        <f t="shared" si="135"/>
        <v>#NUM!</v>
      </c>
      <c r="AT58" s="15">
        <f t="shared" si="136"/>
        <v>0</v>
      </c>
      <c r="AU58" s="15" t="e">
        <f t="shared" si="137"/>
        <v>#NUM!</v>
      </c>
      <c r="AV58" s="15" t="e">
        <f t="shared" si="138"/>
        <v>#NUM!</v>
      </c>
      <c r="AX58" s="15">
        <f t="shared" si="139"/>
        <v>0</v>
      </c>
      <c r="AY58" s="15" t="e">
        <f t="shared" si="140"/>
        <v>#NUM!</v>
      </c>
      <c r="AZ58" s="15" t="e">
        <f t="shared" si="141"/>
        <v>#NUM!</v>
      </c>
      <c r="BB58" s="15">
        <f t="shared" si="142"/>
        <v>0</v>
      </c>
      <c r="BC58" s="15">
        <f t="shared" si="143"/>
        <v>0</v>
      </c>
      <c r="BD58" s="15">
        <f t="shared" si="144"/>
        <v>0</v>
      </c>
      <c r="BE58" s="15">
        <f t="shared" si="145"/>
        <v>0</v>
      </c>
      <c r="BG58" s="15" t="e">
        <f t="shared" si="146"/>
        <v>#DIV/0!</v>
      </c>
      <c r="BH58" s="15" t="e">
        <f t="shared" si="147"/>
        <v>#DIV/0!</v>
      </c>
      <c r="BI58" s="15">
        <f t="shared" ca="1" si="148"/>
        <v>0</v>
      </c>
      <c r="BJ58" s="15">
        <f>+SUM(E$40:E58)</f>
        <v>0</v>
      </c>
      <c r="BK58" s="15">
        <f>+SUM(J$40:J58)+F58</f>
        <v>0</v>
      </c>
      <c r="BL58" s="15">
        <f>+SUM(R$40:R58)+N58</f>
        <v>0</v>
      </c>
      <c r="BM58" s="15">
        <f>+SUM(Z$40:Z58)+V58</f>
        <v>0</v>
      </c>
      <c r="BN58" s="16" t="e">
        <f t="shared" si="149"/>
        <v>#DIV/0!</v>
      </c>
      <c r="BO58" s="16" t="e">
        <f t="shared" si="150"/>
        <v>#DIV/0!</v>
      </c>
      <c r="BP58" s="16" t="e">
        <f t="shared" si="151"/>
        <v>#DIV/0!</v>
      </c>
      <c r="BQ58" s="16" t="e">
        <f t="shared" si="152"/>
        <v>#DIV/0!</v>
      </c>
      <c r="BR58" s="16" t="e">
        <f t="shared" si="153"/>
        <v>#DIV/0!</v>
      </c>
      <c r="BS58" s="16" t="e">
        <f t="shared" si="154"/>
        <v>#DIV/0!</v>
      </c>
      <c r="BT58" s="32" t="e">
        <f t="shared" si="155"/>
        <v>#DIV/0!</v>
      </c>
      <c r="BU58" s="32" t="e">
        <f t="shared" si="156"/>
        <v>#DIV/0!</v>
      </c>
      <c r="BV58" s="32" t="e">
        <f t="shared" si="157"/>
        <v>#DIV/0!</v>
      </c>
      <c r="BW58" s="13">
        <f t="shared" si="158"/>
        <v>0</v>
      </c>
    </row>
    <row r="59" spans="2:75" x14ac:dyDescent="0.25">
      <c r="B59" s="5">
        <f>Carga!J59</f>
        <v>0</v>
      </c>
      <c r="C59" s="7">
        <f>Carga!$L59</f>
        <v>0.2969</v>
      </c>
      <c r="E59" s="6">
        <f>Carga!K59</f>
        <v>0</v>
      </c>
      <c r="F59" s="6">
        <f t="shared" si="110"/>
        <v>0</v>
      </c>
      <c r="G59" s="7">
        <f>+MAX(Carga!$D$8,MIN(Carga!$F$8,Carga!$E$8+$C59))</f>
        <v>0.30690000000000001</v>
      </c>
      <c r="H59" s="6">
        <f t="shared" si="111"/>
        <v>0</v>
      </c>
      <c r="I59" s="6">
        <f t="shared" si="112"/>
        <v>0</v>
      </c>
      <c r="J59" s="6">
        <f>MIN(SUM(H$4:H59)-SUM(J$4:J58),E59)</f>
        <v>0</v>
      </c>
      <c r="K59" s="6">
        <f t="shared" si="113"/>
        <v>0</v>
      </c>
      <c r="M59" s="6">
        <f t="shared" si="114"/>
        <v>0</v>
      </c>
      <c r="N59" s="6">
        <f t="shared" si="115"/>
        <v>0</v>
      </c>
      <c r="O59" s="7">
        <f>+MAX(Carga!$D$9,MIN(Carga!$F$9,Carga!$E$9+$C59))</f>
        <v>0.32689999999999997</v>
      </c>
      <c r="P59" s="6">
        <f t="shared" si="116"/>
        <v>0</v>
      </c>
      <c r="Q59" s="6">
        <f t="shared" si="117"/>
        <v>0</v>
      </c>
      <c r="R59" s="6">
        <f>MIN(SUM(P$4:P59)-SUM(R$4:R58),M59)</f>
        <v>0</v>
      </c>
      <c r="S59" s="6">
        <f t="shared" si="118"/>
        <v>0</v>
      </c>
      <c r="U59" s="6">
        <f t="shared" si="119"/>
        <v>0</v>
      </c>
      <c r="V59" s="6">
        <f t="shared" si="120"/>
        <v>0</v>
      </c>
      <c r="W59" s="7">
        <f>+MAX(Carga!$D$10,MIN(Carga!$F$10,Carga!$E$10+$C59))</f>
        <v>0.2969</v>
      </c>
      <c r="X59" s="6">
        <f t="shared" si="121"/>
        <v>0</v>
      </c>
      <c r="Y59" s="6">
        <f t="shared" si="122"/>
        <v>0</v>
      </c>
      <c r="Z59" s="6">
        <f>MIN(SUM(X$4:X59)-SUM(Z$4:Z58),U59)</f>
        <v>0</v>
      </c>
      <c r="AA59" s="6">
        <f t="shared" si="123"/>
        <v>0</v>
      </c>
      <c r="AC59" s="6">
        <f t="shared" si="124"/>
        <v>0</v>
      </c>
      <c r="AD59" s="6">
        <f t="shared" si="125"/>
        <v>100</v>
      </c>
      <c r="AE59" s="7" t="b">
        <f>IF(MAX(AC60:AC$65)&gt;0,FALSE,TRUE)</f>
        <v>1</v>
      </c>
      <c r="AF59" s="6">
        <f t="shared" si="126"/>
        <v>0</v>
      </c>
      <c r="AG59" s="6">
        <f t="shared" si="127"/>
        <v>0</v>
      </c>
      <c r="AH59" s="6">
        <f t="shared" si="128"/>
        <v>0</v>
      </c>
      <c r="AJ59" s="6">
        <f t="shared" si="129"/>
        <v>-44061</v>
      </c>
      <c r="AL59" s="6">
        <f t="shared" si="130"/>
        <v>0</v>
      </c>
      <c r="AM59" s="6" t="e">
        <f t="shared" si="131"/>
        <v>#NUM!</v>
      </c>
      <c r="AN59" s="6" t="e">
        <f t="shared" si="132"/>
        <v>#NUM!</v>
      </c>
      <c r="AP59" s="6">
        <f t="shared" si="133"/>
        <v>0</v>
      </c>
      <c r="AQ59" s="6" t="e">
        <f t="shared" si="134"/>
        <v>#NUM!</v>
      </c>
      <c r="AR59" s="6" t="e">
        <f t="shared" si="135"/>
        <v>#NUM!</v>
      </c>
      <c r="AT59" s="6">
        <f t="shared" si="136"/>
        <v>0</v>
      </c>
      <c r="AU59" s="6" t="e">
        <f t="shared" si="137"/>
        <v>#NUM!</v>
      </c>
      <c r="AV59" s="6" t="e">
        <f t="shared" si="138"/>
        <v>#NUM!</v>
      </c>
      <c r="AX59" s="6">
        <f t="shared" si="139"/>
        <v>0</v>
      </c>
      <c r="AY59" s="6" t="e">
        <f t="shared" si="140"/>
        <v>#NUM!</v>
      </c>
      <c r="AZ59" s="6" t="e">
        <f t="shared" si="141"/>
        <v>#NUM!</v>
      </c>
      <c r="BB59" s="6">
        <f t="shared" si="142"/>
        <v>0</v>
      </c>
      <c r="BC59" s="6">
        <f t="shared" si="143"/>
        <v>0</v>
      </c>
      <c r="BD59" s="6">
        <f t="shared" si="144"/>
        <v>0</v>
      </c>
      <c r="BE59" s="6">
        <f t="shared" si="145"/>
        <v>0</v>
      </c>
      <c r="BG59" s="6" t="e">
        <f t="shared" si="146"/>
        <v>#DIV/0!</v>
      </c>
      <c r="BH59" s="6" t="e">
        <f t="shared" si="147"/>
        <v>#DIV/0!</v>
      </c>
      <c r="BI59" s="6">
        <f t="shared" ca="1" si="148"/>
        <v>0</v>
      </c>
      <c r="BJ59" s="6">
        <f>+SUM(E$40:E59)</f>
        <v>0</v>
      </c>
      <c r="BK59" s="6">
        <f>+SUM(J$40:J59)+F59</f>
        <v>0</v>
      </c>
      <c r="BL59" s="6">
        <f>+SUM(R$40:R59)+N59</f>
        <v>0</v>
      </c>
      <c r="BM59" s="6">
        <f>+SUM(Z$40:Z59)+V59</f>
        <v>0</v>
      </c>
      <c r="BN59" s="7" t="e">
        <f t="shared" si="149"/>
        <v>#DIV/0!</v>
      </c>
      <c r="BO59" s="7" t="e">
        <f t="shared" si="150"/>
        <v>#DIV/0!</v>
      </c>
      <c r="BP59" s="7" t="e">
        <f t="shared" si="151"/>
        <v>#DIV/0!</v>
      </c>
      <c r="BQ59" s="7" t="e">
        <f t="shared" si="152"/>
        <v>#DIV/0!</v>
      </c>
      <c r="BR59" s="7" t="e">
        <f t="shared" si="153"/>
        <v>#DIV/0!</v>
      </c>
      <c r="BS59" s="7" t="e">
        <f t="shared" si="154"/>
        <v>#DIV/0!</v>
      </c>
      <c r="BT59" s="31" t="e">
        <f t="shared" si="155"/>
        <v>#DIV/0!</v>
      </c>
      <c r="BU59" s="31" t="e">
        <f t="shared" si="156"/>
        <v>#DIV/0!</v>
      </c>
      <c r="BV59" s="31" t="e">
        <f t="shared" si="157"/>
        <v>#DIV/0!</v>
      </c>
      <c r="BW59" s="5">
        <f t="shared" si="158"/>
        <v>0</v>
      </c>
    </row>
    <row r="60" spans="2:75" x14ac:dyDescent="0.25">
      <c r="B60" s="13">
        <f>Carga!J60</f>
        <v>0</v>
      </c>
      <c r="C60" s="16">
        <f>Carga!$L60</f>
        <v>0.2969</v>
      </c>
      <c r="E60" s="15">
        <f>Carga!K60</f>
        <v>0</v>
      </c>
      <c r="F60" s="15">
        <f t="shared" si="110"/>
        <v>0</v>
      </c>
      <c r="G60" s="16">
        <f>+MAX(Carga!$D$8,MIN(Carga!$F$8,Carga!$E$8+$C60))</f>
        <v>0.30690000000000001</v>
      </c>
      <c r="H60" s="15">
        <f t="shared" si="111"/>
        <v>0</v>
      </c>
      <c r="I60" s="15">
        <f t="shared" si="112"/>
        <v>0</v>
      </c>
      <c r="J60" s="15">
        <f>MIN(SUM(H$4:H60)-SUM(J$4:J59),E60)</f>
        <v>0</v>
      </c>
      <c r="K60" s="15">
        <f t="shared" si="113"/>
        <v>0</v>
      </c>
      <c r="M60" s="15">
        <f t="shared" si="114"/>
        <v>0</v>
      </c>
      <c r="N60" s="15">
        <f t="shared" si="115"/>
        <v>0</v>
      </c>
      <c r="O60" s="16">
        <f>+MAX(Carga!$D$9,MIN(Carga!$F$9,Carga!$E$9+$C60))</f>
        <v>0.32689999999999997</v>
      </c>
      <c r="P60" s="15">
        <f t="shared" si="116"/>
        <v>0</v>
      </c>
      <c r="Q60" s="15">
        <f t="shared" si="117"/>
        <v>0</v>
      </c>
      <c r="R60" s="15">
        <f>MIN(SUM(P$4:P60)-SUM(R$4:R59),M60)</f>
        <v>0</v>
      </c>
      <c r="S60" s="15">
        <f t="shared" si="118"/>
        <v>0</v>
      </c>
      <c r="U60" s="15">
        <f t="shared" si="119"/>
        <v>0</v>
      </c>
      <c r="V60" s="15">
        <f t="shared" si="120"/>
        <v>0</v>
      </c>
      <c r="W60" s="16">
        <f>+MAX(Carga!$D$10,MIN(Carga!$F$10,Carga!$E$10+$C60))</f>
        <v>0.2969</v>
      </c>
      <c r="X60" s="15">
        <f t="shared" si="121"/>
        <v>0</v>
      </c>
      <c r="Y60" s="15">
        <f t="shared" si="122"/>
        <v>0</v>
      </c>
      <c r="Z60" s="15">
        <f>MIN(SUM(X$4:X60)-SUM(Z$4:Z59),U60)</f>
        <v>0</v>
      </c>
      <c r="AA60" s="15">
        <f t="shared" si="123"/>
        <v>0</v>
      </c>
      <c r="AC60" s="15">
        <f t="shared" si="124"/>
        <v>0</v>
      </c>
      <c r="AD60" s="15">
        <f t="shared" si="125"/>
        <v>100</v>
      </c>
      <c r="AE60" s="14" t="b">
        <f>IF(MAX(AC$65:AC81)&gt;0,FALSE,TRUE)</f>
        <v>0</v>
      </c>
      <c r="AF60" s="15">
        <f t="shared" si="126"/>
        <v>0</v>
      </c>
      <c r="AG60" s="15">
        <f t="shared" si="127"/>
        <v>0</v>
      </c>
      <c r="AH60" s="15">
        <f t="shared" si="128"/>
        <v>0</v>
      </c>
      <c r="AJ60" s="14">
        <f t="shared" si="129"/>
        <v>-44061</v>
      </c>
      <c r="AL60" s="15">
        <f t="shared" si="130"/>
        <v>0</v>
      </c>
      <c r="AM60" s="15" t="e">
        <f t="shared" si="131"/>
        <v>#NUM!</v>
      </c>
      <c r="AN60" s="14" t="e">
        <f t="shared" si="132"/>
        <v>#NUM!</v>
      </c>
      <c r="AP60" s="15">
        <f t="shared" si="133"/>
        <v>0</v>
      </c>
      <c r="AQ60" s="15" t="e">
        <f t="shared" si="134"/>
        <v>#NUM!</v>
      </c>
      <c r="AR60" s="15" t="e">
        <f t="shared" si="135"/>
        <v>#NUM!</v>
      </c>
      <c r="AT60" s="15">
        <f t="shared" si="136"/>
        <v>0</v>
      </c>
      <c r="AU60" s="15" t="e">
        <f t="shared" si="137"/>
        <v>#NUM!</v>
      </c>
      <c r="AV60" s="15" t="e">
        <f t="shared" si="138"/>
        <v>#NUM!</v>
      </c>
      <c r="AX60" s="15">
        <f t="shared" si="139"/>
        <v>0</v>
      </c>
      <c r="AY60" s="15" t="e">
        <f t="shared" si="140"/>
        <v>#NUM!</v>
      </c>
      <c r="AZ60" s="15" t="e">
        <f t="shared" si="141"/>
        <v>#NUM!</v>
      </c>
      <c r="BB60" s="15">
        <f t="shared" si="142"/>
        <v>0</v>
      </c>
      <c r="BC60" s="15">
        <f t="shared" si="143"/>
        <v>0</v>
      </c>
      <c r="BD60" s="15">
        <f t="shared" si="144"/>
        <v>0</v>
      </c>
      <c r="BE60" s="15">
        <f t="shared" si="145"/>
        <v>0</v>
      </c>
      <c r="BG60" s="15" t="e">
        <f t="shared" si="146"/>
        <v>#DIV/0!</v>
      </c>
      <c r="BH60" s="15" t="e">
        <f t="shared" si="147"/>
        <v>#DIV/0!</v>
      </c>
      <c r="BI60" s="15">
        <f t="shared" ca="1" si="148"/>
        <v>0</v>
      </c>
      <c r="BJ60" s="15">
        <f>+SUM(E$40:E60)</f>
        <v>0</v>
      </c>
      <c r="BK60" s="15">
        <f>+SUM(J$40:J60)+F60</f>
        <v>0</v>
      </c>
      <c r="BL60" s="15">
        <f>+SUM(R$40:R60)+N60</f>
        <v>0</v>
      </c>
      <c r="BM60" s="15">
        <f>+SUM(Z$40:Z60)+V60</f>
        <v>0</v>
      </c>
      <c r="BN60" s="16" t="e">
        <f t="shared" si="149"/>
        <v>#DIV/0!</v>
      </c>
      <c r="BO60" s="16" t="e">
        <f t="shared" si="150"/>
        <v>#DIV/0!</v>
      </c>
      <c r="BP60" s="16" t="e">
        <f t="shared" si="151"/>
        <v>#DIV/0!</v>
      </c>
      <c r="BQ60" s="16" t="e">
        <f t="shared" si="152"/>
        <v>#DIV/0!</v>
      </c>
      <c r="BR60" s="16" t="e">
        <f t="shared" si="153"/>
        <v>#DIV/0!</v>
      </c>
      <c r="BS60" s="16" t="e">
        <f t="shared" si="154"/>
        <v>#DIV/0!</v>
      </c>
      <c r="BT60" s="32" t="e">
        <f t="shared" si="155"/>
        <v>#DIV/0!</v>
      </c>
      <c r="BU60" s="32" t="e">
        <f t="shared" si="156"/>
        <v>#DIV/0!</v>
      </c>
      <c r="BV60" s="32" t="e">
        <f t="shared" si="157"/>
        <v>#DIV/0!</v>
      </c>
      <c r="BW60" s="13">
        <f t="shared" si="158"/>
        <v>0</v>
      </c>
    </row>
    <row r="61" spans="2:75" x14ac:dyDescent="0.25">
      <c r="B61" s="5">
        <f>Carga!J61</f>
        <v>0</v>
      </c>
      <c r="C61" s="7">
        <f>Carga!$L61</f>
        <v>0.2969</v>
      </c>
      <c r="E61" s="6">
        <f>Carga!K61</f>
        <v>0</v>
      </c>
      <c r="F61" s="6">
        <f t="shared" si="110"/>
        <v>0</v>
      </c>
      <c r="G61" s="7">
        <f>+MAX(Carga!$D$8,MIN(Carga!$F$8,Carga!$E$8+$C61))</f>
        <v>0.30690000000000001</v>
      </c>
      <c r="H61" s="6">
        <f t="shared" si="111"/>
        <v>0</v>
      </c>
      <c r="I61" s="6">
        <f t="shared" si="112"/>
        <v>0</v>
      </c>
      <c r="J61" s="6">
        <f>MIN(SUM(H$4:H61)-SUM(J$4:J60),E61)</f>
        <v>0</v>
      </c>
      <c r="K61" s="6">
        <f t="shared" si="113"/>
        <v>0</v>
      </c>
      <c r="M61" s="6">
        <f t="shared" si="114"/>
        <v>0</v>
      </c>
      <c r="N61" s="6">
        <f t="shared" si="115"/>
        <v>0</v>
      </c>
      <c r="O61" s="7">
        <f>+MAX(Carga!$D$9,MIN(Carga!$F$9,Carga!$E$9+$C61))</f>
        <v>0.32689999999999997</v>
      </c>
      <c r="P61" s="6">
        <f t="shared" si="116"/>
        <v>0</v>
      </c>
      <c r="Q61" s="6">
        <f t="shared" si="117"/>
        <v>0</v>
      </c>
      <c r="R61" s="6">
        <f>MIN(SUM(P$4:P61)-SUM(R$4:R60),M61)</f>
        <v>0</v>
      </c>
      <c r="S61" s="6">
        <f t="shared" si="118"/>
        <v>0</v>
      </c>
      <c r="U61" s="6">
        <f t="shared" si="119"/>
        <v>0</v>
      </c>
      <c r="V61" s="6">
        <f t="shared" si="120"/>
        <v>0</v>
      </c>
      <c r="W61" s="7">
        <f>+MAX(Carga!$D$10,MIN(Carga!$F$10,Carga!$E$10+$C61))</f>
        <v>0.2969</v>
      </c>
      <c r="X61" s="6">
        <f t="shared" si="121"/>
        <v>0</v>
      </c>
      <c r="Y61" s="6">
        <f t="shared" si="122"/>
        <v>0</v>
      </c>
      <c r="Z61" s="6">
        <f>MIN(SUM(X$4:X61)-SUM(Z$4:Z60),U61)</f>
        <v>0</v>
      </c>
      <c r="AA61" s="6">
        <f t="shared" si="123"/>
        <v>0</v>
      </c>
      <c r="AC61" s="6">
        <f t="shared" si="124"/>
        <v>0</v>
      </c>
      <c r="AD61" s="6">
        <f t="shared" si="125"/>
        <v>100</v>
      </c>
      <c r="AE61" s="7" t="b">
        <f>IF(MAX(AC62:AC$65)&gt;0,FALSE,TRUE)</f>
        <v>1</v>
      </c>
      <c r="AF61" s="6">
        <f t="shared" si="126"/>
        <v>0</v>
      </c>
      <c r="AG61" s="6">
        <f t="shared" si="127"/>
        <v>0</v>
      </c>
      <c r="AH61" s="6">
        <f t="shared" si="128"/>
        <v>0</v>
      </c>
      <c r="AJ61" s="6">
        <f t="shared" si="129"/>
        <v>-44061</v>
      </c>
      <c r="AL61" s="6">
        <f t="shared" si="130"/>
        <v>0</v>
      </c>
      <c r="AM61" s="6" t="e">
        <f t="shared" si="131"/>
        <v>#NUM!</v>
      </c>
      <c r="AN61" s="6" t="e">
        <f t="shared" si="132"/>
        <v>#NUM!</v>
      </c>
      <c r="AP61" s="6">
        <f t="shared" si="133"/>
        <v>0</v>
      </c>
      <c r="AQ61" s="6" t="e">
        <f t="shared" si="134"/>
        <v>#NUM!</v>
      </c>
      <c r="AR61" s="6" t="e">
        <f t="shared" si="135"/>
        <v>#NUM!</v>
      </c>
      <c r="AT61" s="6">
        <f t="shared" si="136"/>
        <v>0</v>
      </c>
      <c r="AU61" s="6" t="e">
        <f t="shared" si="137"/>
        <v>#NUM!</v>
      </c>
      <c r="AV61" s="6" t="e">
        <f t="shared" si="138"/>
        <v>#NUM!</v>
      </c>
      <c r="AX61" s="6">
        <f t="shared" si="139"/>
        <v>0</v>
      </c>
      <c r="AY61" s="6" t="e">
        <f t="shared" si="140"/>
        <v>#NUM!</v>
      </c>
      <c r="AZ61" s="6" t="e">
        <f t="shared" si="141"/>
        <v>#NUM!</v>
      </c>
      <c r="BB61" s="6">
        <f t="shared" si="142"/>
        <v>0</v>
      </c>
      <c r="BC61" s="6">
        <f t="shared" si="143"/>
        <v>0</v>
      </c>
      <c r="BD61" s="6">
        <f t="shared" si="144"/>
        <v>0</v>
      </c>
      <c r="BE61" s="6">
        <f t="shared" si="145"/>
        <v>0</v>
      </c>
      <c r="BG61" s="6" t="e">
        <f t="shared" si="146"/>
        <v>#DIV/0!</v>
      </c>
      <c r="BH61" s="6" t="e">
        <f t="shared" si="147"/>
        <v>#DIV/0!</v>
      </c>
      <c r="BI61" s="6">
        <f t="shared" ca="1" si="148"/>
        <v>0</v>
      </c>
      <c r="BJ61" s="6">
        <f>+SUM(E$40:E61)</f>
        <v>0</v>
      </c>
      <c r="BK61" s="6">
        <f>+SUM(J$40:J61)+F61</f>
        <v>0</v>
      </c>
      <c r="BL61" s="6">
        <f>+SUM(R$40:R61)+N61</f>
        <v>0</v>
      </c>
      <c r="BM61" s="6">
        <f>+SUM(Z$40:Z61)+V61</f>
        <v>0</v>
      </c>
      <c r="BN61" s="7" t="e">
        <f t="shared" si="149"/>
        <v>#DIV/0!</v>
      </c>
      <c r="BO61" s="7" t="e">
        <f t="shared" si="150"/>
        <v>#DIV/0!</v>
      </c>
      <c r="BP61" s="7" t="e">
        <f t="shared" si="151"/>
        <v>#DIV/0!</v>
      </c>
      <c r="BQ61" s="7" t="e">
        <f t="shared" si="152"/>
        <v>#DIV/0!</v>
      </c>
      <c r="BR61" s="7" t="e">
        <f t="shared" si="153"/>
        <v>#DIV/0!</v>
      </c>
      <c r="BS61" s="7" t="e">
        <f t="shared" si="154"/>
        <v>#DIV/0!</v>
      </c>
      <c r="BT61" s="31" t="e">
        <f t="shared" si="155"/>
        <v>#DIV/0!</v>
      </c>
      <c r="BU61" s="31" t="e">
        <f t="shared" si="156"/>
        <v>#DIV/0!</v>
      </c>
      <c r="BV61" s="31" t="e">
        <f t="shared" si="157"/>
        <v>#DIV/0!</v>
      </c>
      <c r="BW61" s="5">
        <f t="shared" si="158"/>
        <v>0</v>
      </c>
    </row>
    <row r="62" spans="2:75" x14ac:dyDescent="0.25">
      <c r="B62" s="13">
        <f>Carga!J62</f>
        <v>0</v>
      </c>
      <c r="C62" s="16">
        <f>Carga!$L62</f>
        <v>0.2969</v>
      </c>
      <c r="E62" s="15">
        <f>Carga!K62</f>
        <v>0</v>
      </c>
      <c r="F62" s="15">
        <f t="shared" si="110"/>
        <v>0</v>
      </c>
      <c r="G62" s="16">
        <f>+MAX(Carga!$D$8,MIN(Carga!$F$8,Carga!$E$8+$C62))</f>
        <v>0.30690000000000001</v>
      </c>
      <c r="H62" s="15">
        <f t="shared" si="111"/>
        <v>0</v>
      </c>
      <c r="I62" s="15">
        <f t="shared" si="112"/>
        <v>0</v>
      </c>
      <c r="J62" s="15">
        <f>MIN(SUM(H$4:H62)-SUM(J$4:J61),E62)</f>
        <v>0</v>
      </c>
      <c r="K62" s="15">
        <f t="shared" si="113"/>
        <v>0</v>
      </c>
      <c r="M62" s="15">
        <f t="shared" si="114"/>
        <v>0</v>
      </c>
      <c r="N62" s="15">
        <f t="shared" si="115"/>
        <v>0</v>
      </c>
      <c r="O62" s="16">
        <f>+MAX(Carga!$D$9,MIN(Carga!$F$9,Carga!$E$9+$C62))</f>
        <v>0.32689999999999997</v>
      </c>
      <c r="P62" s="15">
        <f t="shared" si="116"/>
        <v>0</v>
      </c>
      <c r="Q62" s="15">
        <f t="shared" si="117"/>
        <v>0</v>
      </c>
      <c r="R62" s="15">
        <f>MIN(SUM(P$4:P62)-SUM(R$4:R61),M62)</f>
        <v>0</v>
      </c>
      <c r="S62" s="15">
        <f t="shared" si="118"/>
        <v>0</v>
      </c>
      <c r="U62" s="15">
        <f t="shared" si="119"/>
        <v>0</v>
      </c>
      <c r="V62" s="15">
        <f t="shared" si="120"/>
        <v>0</v>
      </c>
      <c r="W62" s="16">
        <f>+MAX(Carga!$D$10,MIN(Carga!$F$10,Carga!$E$10+$C62))</f>
        <v>0.2969</v>
      </c>
      <c r="X62" s="15">
        <f t="shared" si="121"/>
        <v>0</v>
      </c>
      <c r="Y62" s="15">
        <f t="shared" si="122"/>
        <v>0</v>
      </c>
      <c r="Z62" s="15">
        <f>MIN(SUM(X$4:X62)-SUM(Z$4:Z61),U62)</f>
        <v>0</v>
      </c>
      <c r="AA62" s="15">
        <f t="shared" si="123"/>
        <v>0</v>
      </c>
      <c r="AC62" s="15">
        <f t="shared" si="124"/>
        <v>0</v>
      </c>
      <c r="AD62" s="15">
        <f t="shared" si="125"/>
        <v>100</v>
      </c>
      <c r="AE62" s="14" t="b">
        <f>IF(MAX(AC$65:AC83)&gt;0,FALSE,TRUE)</f>
        <v>0</v>
      </c>
      <c r="AF62" s="15">
        <f t="shared" si="126"/>
        <v>0</v>
      </c>
      <c r="AG62" s="15">
        <f t="shared" si="127"/>
        <v>0</v>
      </c>
      <c r="AH62" s="15">
        <f t="shared" si="128"/>
        <v>0</v>
      </c>
      <c r="AJ62" s="14">
        <f t="shared" si="129"/>
        <v>-44061</v>
      </c>
      <c r="AL62" s="15">
        <f t="shared" si="130"/>
        <v>0</v>
      </c>
      <c r="AM62" s="15" t="e">
        <f t="shared" si="131"/>
        <v>#NUM!</v>
      </c>
      <c r="AN62" s="14" t="e">
        <f t="shared" si="132"/>
        <v>#NUM!</v>
      </c>
      <c r="AP62" s="15">
        <f t="shared" si="133"/>
        <v>0</v>
      </c>
      <c r="AQ62" s="15" t="e">
        <f t="shared" si="134"/>
        <v>#NUM!</v>
      </c>
      <c r="AR62" s="15" t="e">
        <f t="shared" si="135"/>
        <v>#NUM!</v>
      </c>
      <c r="AT62" s="15">
        <f t="shared" si="136"/>
        <v>0</v>
      </c>
      <c r="AU62" s="15" t="e">
        <f t="shared" si="137"/>
        <v>#NUM!</v>
      </c>
      <c r="AV62" s="15" t="e">
        <f t="shared" si="138"/>
        <v>#NUM!</v>
      </c>
      <c r="AX62" s="15">
        <f t="shared" si="139"/>
        <v>0</v>
      </c>
      <c r="AY62" s="15" t="e">
        <f t="shared" si="140"/>
        <v>#NUM!</v>
      </c>
      <c r="AZ62" s="15" t="e">
        <f t="shared" si="141"/>
        <v>#NUM!</v>
      </c>
      <c r="BB62" s="15">
        <f t="shared" si="142"/>
        <v>0</v>
      </c>
      <c r="BC62" s="15">
        <f t="shared" si="143"/>
        <v>0</v>
      </c>
      <c r="BD62" s="15">
        <f t="shared" si="144"/>
        <v>0</v>
      </c>
      <c r="BE62" s="15">
        <f t="shared" si="145"/>
        <v>0</v>
      </c>
      <c r="BG62" s="15" t="e">
        <f t="shared" si="146"/>
        <v>#DIV/0!</v>
      </c>
      <c r="BH62" s="15" t="e">
        <f t="shared" si="147"/>
        <v>#DIV/0!</v>
      </c>
      <c r="BI62" s="15">
        <f t="shared" ca="1" si="148"/>
        <v>0</v>
      </c>
      <c r="BJ62" s="15">
        <f>+SUM(E$40:E62)</f>
        <v>0</v>
      </c>
      <c r="BK62" s="15">
        <f>+SUM(J$40:J62)+F62</f>
        <v>0</v>
      </c>
      <c r="BL62" s="15">
        <f>+SUM(R$40:R62)+N62</f>
        <v>0</v>
      </c>
      <c r="BM62" s="15">
        <f>+SUM(Z$40:Z62)+V62</f>
        <v>0</v>
      </c>
      <c r="BN62" s="16" t="e">
        <f t="shared" si="149"/>
        <v>#DIV/0!</v>
      </c>
      <c r="BO62" s="16" t="e">
        <f t="shared" si="150"/>
        <v>#DIV/0!</v>
      </c>
      <c r="BP62" s="16" t="e">
        <f t="shared" si="151"/>
        <v>#DIV/0!</v>
      </c>
      <c r="BQ62" s="16" t="e">
        <f t="shared" si="152"/>
        <v>#DIV/0!</v>
      </c>
      <c r="BR62" s="16" t="e">
        <f t="shared" si="153"/>
        <v>#DIV/0!</v>
      </c>
      <c r="BS62" s="16" t="e">
        <f t="shared" si="154"/>
        <v>#DIV/0!</v>
      </c>
      <c r="BT62" s="32" t="e">
        <f t="shared" si="155"/>
        <v>#DIV/0!</v>
      </c>
      <c r="BU62" s="32" t="e">
        <f t="shared" si="156"/>
        <v>#DIV/0!</v>
      </c>
      <c r="BV62" s="32" t="e">
        <f t="shared" si="157"/>
        <v>#DIV/0!</v>
      </c>
      <c r="BW62" s="13">
        <f t="shared" si="158"/>
        <v>0</v>
      </c>
    </row>
    <row r="63" spans="2:75" x14ac:dyDescent="0.25">
      <c r="B63" s="5">
        <f>Carga!J63</f>
        <v>0</v>
      </c>
      <c r="C63" s="7">
        <f>Carga!$L63</f>
        <v>0.2969</v>
      </c>
      <c r="E63" s="6">
        <f>Carga!K63</f>
        <v>0</v>
      </c>
      <c r="F63" s="6">
        <f t="shared" si="110"/>
        <v>0</v>
      </c>
      <c r="G63" s="7">
        <f>+MAX(Carga!$D$8,MIN(Carga!$F$8,Carga!$E$8+$C63))</f>
        <v>0.30690000000000001</v>
      </c>
      <c r="H63" s="6">
        <f t="shared" si="111"/>
        <v>0</v>
      </c>
      <c r="I63" s="6">
        <f t="shared" si="112"/>
        <v>0</v>
      </c>
      <c r="J63" s="6">
        <f>MIN(SUM(H$4:H63)-SUM(J$4:J62),E63)</f>
        <v>0</v>
      </c>
      <c r="K63" s="6">
        <f t="shared" si="113"/>
        <v>0</v>
      </c>
      <c r="M63" s="6">
        <f t="shared" si="114"/>
        <v>0</v>
      </c>
      <c r="N63" s="6">
        <f t="shared" si="115"/>
        <v>0</v>
      </c>
      <c r="O63" s="7">
        <f>+MAX(Carga!$D$9,MIN(Carga!$F$9,Carga!$E$9+$C63))</f>
        <v>0.32689999999999997</v>
      </c>
      <c r="P63" s="6">
        <f t="shared" si="116"/>
        <v>0</v>
      </c>
      <c r="Q63" s="6">
        <f t="shared" si="117"/>
        <v>0</v>
      </c>
      <c r="R63" s="6">
        <f>MIN(SUM(P$4:P63)-SUM(R$4:R62),M63)</f>
        <v>0</v>
      </c>
      <c r="S63" s="6">
        <f t="shared" si="118"/>
        <v>0</v>
      </c>
      <c r="U63" s="6">
        <f t="shared" si="119"/>
        <v>0</v>
      </c>
      <c r="V63" s="6">
        <f t="shared" si="120"/>
        <v>0</v>
      </c>
      <c r="W63" s="7">
        <f>+MAX(Carga!$D$10,MIN(Carga!$F$10,Carga!$E$10+$C63))</f>
        <v>0.2969</v>
      </c>
      <c r="X63" s="6">
        <f t="shared" si="121"/>
        <v>0</v>
      </c>
      <c r="Y63" s="6">
        <f t="shared" si="122"/>
        <v>0</v>
      </c>
      <c r="Z63" s="6">
        <f>MIN(SUM(X$4:X63)-SUM(Z$4:Z62),U63)</f>
        <v>0</v>
      </c>
      <c r="AA63" s="6">
        <f t="shared" si="123"/>
        <v>0</v>
      </c>
      <c r="AC63" s="6">
        <f t="shared" si="124"/>
        <v>0</v>
      </c>
      <c r="AD63" s="6">
        <f t="shared" si="125"/>
        <v>100</v>
      </c>
      <c r="AE63" s="7" t="b">
        <f>IF(MAX(AC64:AC$65)&gt;0,FALSE,TRUE)</f>
        <v>1</v>
      </c>
      <c r="AF63" s="6">
        <f t="shared" si="126"/>
        <v>0</v>
      </c>
      <c r="AG63" s="6">
        <f t="shared" si="127"/>
        <v>0</v>
      </c>
      <c r="AH63" s="6">
        <f t="shared" si="128"/>
        <v>0</v>
      </c>
      <c r="AJ63" s="6">
        <f t="shared" si="129"/>
        <v>-44061</v>
      </c>
      <c r="AL63" s="6">
        <f t="shared" si="130"/>
        <v>0</v>
      </c>
      <c r="AM63" s="6" t="e">
        <f t="shared" si="131"/>
        <v>#NUM!</v>
      </c>
      <c r="AN63" s="6" t="e">
        <f t="shared" si="132"/>
        <v>#NUM!</v>
      </c>
      <c r="AP63" s="6">
        <f t="shared" si="133"/>
        <v>0</v>
      </c>
      <c r="AQ63" s="6" t="e">
        <f t="shared" si="134"/>
        <v>#NUM!</v>
      </c>
      <c r="AR63" s="6" t="e">
        <f t="shared" si="135"/>
        <v>#NUM!</v>
      </c>
      <c r="AT63" s="6">
        <f t="shared" si="136"/>
        <v>0</v>
      </c>
      <c r="AU63" s="6" t="e">
        <f t="shared" si="137"/>
        <v>#NUM!</v>
      </c>
      <c r="AV63" s="6" t="e">
        <f t="shared" si="138"/>
        <v>#NUM!</v>
      </c>
      <c r="AX63" s="6">
        <f t="shared" si="139"/>
        <v>0</v>
      </c>
      <c r="AY63" s="6" t="e">
        <f t="shared" si="140"/>
        <v>#NUM!</v>
      </c>
      <c r="AZ63" s="6" t="e">
        <f t="shared" si="141"/>
        <v>#NUM!</v>
      </c>
      <c r="BB63" s="6">
        <f t="shared" si="142"/>
        <v>0</v>
      </c>
      <c r="BC63" s="6">
        <f t="shared" si="143"/>
        <v>0</v>
      </c>
      <c r="BD63" s="6">
        <f t="shared" si="144"/>
        <v>0</v>
      </c>
      <c r="BE63" s="6">
        <f t="shared" si="145"/>
        <v>0</v>
      </c>
      <c r="BG63" s="6" t="e">
        <f t="shared" si="146"/>
        <v>#DIV/0!</v>
      </c>
      <c r="BH63" s="6" t="e">
        <f t="shared" si="147"/>
        <v>#DIV/0!</v>
      </c>
      <c r="BI63" s="6">
        <f t="shared" ca="1" si="148"/>
        <v>0</v>
      </c>
      <c r="BJ63" s="6">
        <f>+SUM(E$40:E63)</f>
        <v>0</v>
      </c>
      <c r="BK63" s="6">
        <f>+SUM(J$40:J63)+F63</f>
        <v>0</v>
      </c>
      <c r="BL63" s="6">
        <f>+SUM(R$40:R63)+N63</f>
        <v>0</v>
      </c>
      <c r="BM63" s="6">
        <f>+SUM(Z$40:Z63)+V63</f>
        <v>0</v>
      </c>
      <c r="BN63" s="7" t="e">
        <f t="shared" si="149"/>
        <v>#DIV/0!</v>
      </c>
      <c r="BO63" s="7" t="e">
        <f t="shared" si="150"/>
        <v>#DIV/0!</v>
      </c>
      <c r="BP63" s="7" t="e">
        <f t="shared" si="151"/>
        <v>#DIV/0!</v>
      </c>
      <c r="BQ63" s="7" t="e">
        <f t="shared" si="152"/>
        <v>#DIV/0!</v>
      </c>
      <c r="BR63" s="7" t="e">
        <f t="shared" si="153"/>
        <v>#DIV/0!</v>
      </c>
      <c r="BS63" s="7" t="e">
        <f t="shared" si="154"/>
        <v>#DIV/0!</v>
      </c>
      <c r="BT63" s="31" t="e">
        <f t="shared" si="155"/>
        <v>#DIV/0!</v>
      </c>
      <c r="BU63" s="31" t="e">
        <f t="shared" si="156"/>
        <v>#DIV/0!</v>
      </c>
      <c r="BV63" s="31" t="e">
        <f t="shared" si="157"/>
        <v>#DIV/0!</v>
      </c>
      <c r="BW63" s="5">
        <f t="shared" si="158"/>
        <v>0</v>
      </c>
    </row>
    <row r="64" spans="2:75" x14ac:dyDescent="0.25">
      <c r="B64" s="13">
        <f>Carga!J64</f>
        <v>0</v>
      </c>
      <c r="C64" s="16">
        <f>Carga!$L64</f>
        <v>0</v>
      </c>
      <c r="E64" s="15">
        <f>Carga!K64</f>
        <v>0</v>
      </c>
      <c r="F64" s="15">
        <f t="shared" si="110"/>
        <v>0</v>
      </c>
      <c r="G64" s="16">
        <f>+MAX(Carga!$D$8,MIN(Carga!$F$8,Carga!$E$8+$C64))</f>
        <v>0.3</v>
      </c>
      <c r="H64" s="15">
        <f t="shared" si="111"/>
        <v>0</v>
      </c>
      <c r="I64" s="15">
        <f t="shared" si="112"/>
        <v>0</v>
      </c>
      <c r="J64" s="15">
        <f>MIN(SUM(H$4:H64)-SUM(J$4:J63),E64)</f>
        <v>0</v>
      </c>
      <c r="K64" s="15">
        <f t="shared" si="113"/>
        <v>0</v>
      </c>
      <c r="M64" s="15">
        <f t="shared" si="114"/>
        <v>0</v>
      </c>
      <c r="N64" s="15">
        <f t="shared" si="115"/>
        <v>0</v>
      </c>
      <c r="O64" s="16">
        <f>+MAX(Carga!$D$9,MIN(Carga!$F$9,Carga!$E$9+$C64))</f>
        <v>0.31</v>
      </c>
      <c r="P64" s="15">
        <f t="shared" si="116"/>
        <v>0</v>
      </c>
      <c r="Q64" s="15">
        <f t="shared" si="117"/>
        <v>0</v>
      </c>
      <c r="R64" s="15">
        <f>MIN(SUM(P$4:P64)-SUM(R$4:R63),M64)</f>
        <v>0</v>
      </c>
      <c r="S64" s="15">
        <f t="shared" si="118"/>
        <v>0</v>
      </c>
      <c r="U64" s="15">
        <f t="shared" si="119"/>
        <v>0</v>
      </c>
      <c r="V64" s="15">
        <f t="shared" si="120"/>
        <v>0</v>
      </c>
      <c r="W64" s="16">
        <f>+MAX(Carga!$D$10,MIN(Carga!$F$10,Carga!$E$10+$C64))</f>
        <v>0</v>
      </c>
      <c r="X64" s="15">
        <f t="shared" si="121"/>
        <v>0</v>
      </c>
      <c r="Y64" s="15">
        <f t="shared" si="122"/>
        <v>0</v>
      </c>
      <c r="Z64" s="15">
        <f>MIN(SUM(X$4:X64)-SUM(Z$4:Z63),U64)</f>
        <v>0</v>
      </c>
      <c r="AA64" s="15">
        <f t="shared" si="123"/>
        <v>0</v>
      </c>
      <c r="AC64" s="15">
        <f t="shared" si="124"/>
        <v>0</v>
      </c>
      <c r="AD64" s="15">
        <f t="shared" si="125"/>
        <v>100</v>
      </c>
      <c r="AE64" s="14" t="b">
        <f>IF(MAX(AC$65:AC85)&gt;0,FALSE,TRUE)</f>
        <v>0</v>
      </c>
      <c r="AF64" s="15">
        <f t="shared" si="126"/>
        <v>0</v>
      </c>
      <c r="AG64" s="15">
        <f t="shared" si="127"/>
        <v>0</v>
      </c>
      <c r="AH64" s="15">
        <f t="shared" si="128"/>
        <v>0</v>
      </c>
      <c r="AJ64" s="14">
        <f t="shared" si="129"/>
        <v>-44061</v>
      </c>
      <c r="AL64" s="15">
        <f t="shared" si="130"/>
        <v>0</v>
      </c>
      <c r="AM64" s="15" t="e">
        <f t="shared" si="131"/>
        <v>#NUM!</v>
      </c>
      <c r="AN64" s="14" t="e">
        <f t="shared" si="132"/>
        <v>#NUM!</v>
      </c>
      <c r="AP64" s="15">
        <f t="shared" si="133"/>
        <v>0</v>
      </c>
      <c r="AQ64" s="15" t="e">
        <f t="shared" si="134"/>
        <v>#NUM!</v>
      </c>
      <c r="AR64" s="15" t="e">
        <f t="shared" si="135"/>
        <v>#NUM!</v>
      </c>
      <c r="AT64" s="15">
        <f t="shared" si="136"/>
        <v>0</v>
      </c>
      <c r="AU64" s="15" t="e">
        <f t="shared" si="137"/>
        <v>#NUM!</v>
      </c>
      <c r="AV64" s="15" t="e">
        <f t="shared" si="138"/>
        <v>#NUM!</v>
      </c>
      <c r="AX64" s="15">
        <f t="shared" si="139"/>
        <v>0</v>
      </c>
      <c r="AY64" s="15" t="e">
        <f t="shared" si="140"/>
        <v>#NUM!</v>
      </c>
      <c r="AZ64" s="15" t="e">
        <f t="shared" si="141"/>
        <v>#NUM!</v>
      </c>
      <c r="BB64" s="15">
        <f t="shared" si="142"/>
        <v>0</v>
      </c>
      <c r="BC64" s="15">
        <f t="shared" si="143"/>
        <v>0</v>
      </c>
      <c r="BD64" s="15">
        <f t="shared" si="144"/>
        <v>0</v>
      </c>
      <c r="BE64" s="15">
        <f t="shared" si="145"/>
        <v>0</v>
      </c>
      <c r="BG64" s="15" t="e">
        <f t="shared" si="146"/>
        <v>#DIV/0!</v>
      </c>
      <c r="BH64" s="15" t="e">
        <f t="shared" si="147"/>
        <v>#DIV/0!</v>
      </c>
      <c r="BI64" s="15">
        <f t="shared" ca="1" si="148"/>
        <v>0</v>
      </c>
      <c r="BJ64" s="15">
        <f>+SUM(E$40:E64)</f>
        <v>0</v>
      </c>
      <c r="BK64" s="15">
        <f>+SUM(J$40:J64)+F64</f>
        <v>0</v>
      </c>
      <c r="BL64" s="15">
        <f>+SUM(R$40:R64)+N64</f>
        <v>0</v>
      </c>
      <c r="BM64" s="15">
        <f>+SUM(Z$40:Z64)+V64</f>
        <v>0</v>
      </c>
      <c r="BN64" s="16" t="e">
        <f t="shared" si="149"/>
        <v>#DIV/0!</v>
      </c>
      <c r="BO64" s="16" t="e">
        <f t="shared" si="150"/>
        <v>#DIV/0!</v>
      </c>
      <c r="BP64" s="16" t="e">
        <f t="shared" si="151"/>
        <v>#DIV/0!</v>
      </c>
      <c r="BQ64" s="16" t="e">
        <f t="shared" si="152"/>
        <v>#DIV/0!</v>
      </c>
      <c r="BR64" s="16" t="e">
        <f t="shared" si="153"/>
        <v>#DIV/0!</v>
      </c>
      <c r="BS64" s="16" t="e">
        <f t="shared" si="154"/>
        <v>#DIV/0!</v>
      </c>
      <c r="BT64" s="32" t="e">
        <f t="shared" si="155"/>
        <v>#DIV/0!</v>
      </c>
      <c r="BU64" s="32" t="e">
        <f t="shared" si="156"/>
        <v>#DIV/0!</v>
      </c>
      <c r="BV64" s="32" t="e">
        <f t="shared" si="157"/>
        <v>#DIV/0!</v>
      </c>
      <c r="BW64" s="13">
        <f t="shared" si="158"/>
        <v>0</v>
      </c>
    </row>
    <row r="65" spans="2:75" x14ac:dyDescent="0.25">
      <c r="B65" s="5">
        <f>Carga!J65</f>
        <v>0</v>
      </c>
      <c r="C65" s="7">
        <f>Carga!$L65</f>
        <v>0</v>
      </c>
      <c r="E65" s="6">
        <f>Carga!K65</f>
        <v>0</v>
      </c>
      <c r="F65" s="6">
        <f t="shared" ref="F65" si="159">SUM(F64,-I64)</f>
        <v>0</v>
      </c>
      <c r="G65" s="7">
        <f>+MAX(Carga!$D$8,MIN(Carga!$F$8,Carga!$E$8+$C65))</f>
        <v>0.3</v>
      </c>
      <c r="H65" s="6">
        <f t="shared" ref="H65" si="160">F65*G65/12</f>
        <v>0</v>
      </c>
      <c r="I65" s="6">
        <f t="shared" ref="I65" si="161">MIN(E65-J65,F65)</f>
        <v>0</v>
      </c>
      <c r="J65" s="6">
        <f>MIN(SUM(H$4:H65)-SUM(J$4:J64),E65)</f>
        <v>0</v>
      </c>
      <c r="K65" s="6">
        <f t="shared" ref="K65" si="162">SUM(I65:J65)</f>
        <v>0</v>
      </c>
      <c r="M65" s="6">
        <f t="shared" ref="M65" si="163">MAX(E65-K65,0)</f>
        <v>0</v>
      </c>
      <c r="N65" s="6">
        <f t="shared" ref="N65" si="164">SUM(N64,-Q64)</f>
        <v>0</v>
      </c>
      <c r="O65" s="7">
        <f>+MAX(Carga!$D$9,MIN(Carga!$F$9,Carga!$E$9+$C65))</f>
        <v>0.31</v>
      </c>
      <c r="P65" s="6">
        <f t="shared" ref="P65" si="165">N65*O65/12</f>
        <v>0</v>
      </c>
      <c r="Q65" s="6">
        <f t="shared" ref="Q65" si="166">MIN(M65-R65,N65)</f>
        <v>0</v>
      </c>
      <c r="R65" s="6">
        <f>MIN(SUM(P$4:P65)-SUM(R$4:R64),M65)</f>
        <v>0</v>
      </c>
      <c r="S65" s="6">
        <f t="shared" ref="S65" si="167">SUM(Q65:R65)</f>
        <v>0</v>
      </c>
      <c r="U65" s="6">
        <f t="shared" ref="U65" si="168">MAX(M65-S65,0)</f>
        <v>0</v>
      </c>
      <c r="V65" s="6">
        <f t="shared" ref="V65" si="169">SUM(V64,-Y64)</f>
        <v>0</v>
      </c>
      <c r="W65" s="7">
        <f>+MAX(Carga!$D$10,MIN(Carga!$F$10,Carga!$E$10+$C65))</f>
        <v>0</v>
      </c>
      <c r="X65" s="6">
        <f t="shared" ref="X65" si="170">V65*W65/12</f>
        <v>0</v>
      </c>
      <c r="Y65" s="6">
        <f t="shared" ref="Y65" si="171">MIN(U65-Z65,V65)</f>
        <v>0</v>
      </c>
      <c r="Z65" s="6">
        <f>MIN(SUM(X$4:X65)-SUM(Z$4:Z64),U65)</f>
        <v>0</v>
      </c>
      <c r="AA65" s="6">
        <f t="shared" ref="AA65" si="172">SUM(Y65:Z65)</f>
        <v>0</v>
      </c>
      <c r="AC65" s="6">
        <f t="shared" ref="AC65" si="173">MAX(U65-AA65,0)</f>
        <v>0</v>
      </c>
      <c r="AD65" s="6">
        <f t="shared" ref="AD65" si="174">SUM(AD64,-AF64)</f>
        <v>100</v>
      </c>
      <c r="AE65" s="7" t="b">
        <f>IF(MAX(AC$65:AC66)&gt;0,FALSE,TRUE)</f>
        <v>0</v>
      </c>
      <c r="AF65" s="6">
        <f t="shared" ref="AF65" si="175">IF(AE65,MIN(AC65,AD65),MIN(AC65,AD65-100))</f>
        <v>0</v>
      </c>
      <c r="AG65" s="6">
        <f t="shared" ref="AG65" si="176">MAX(AC65-AF65,0)</f>
        <v>0</v>
      </c>
      <c r="AH65" s="6">
        <f t="shared" ref="AH65" si="177">SUM(AF65:AG65)</f>
        <v>0</v>
      </c>
      <c r="AJ65" s="6">
        <f t="shared" ref="AJ65" si="178">B65-B$4</f>
        <v>-44061</v>
      </c>
      <c r="AL65" s="6">
        <f t="shared" ref="AL65" si="179">K65</f>
        <v>0</v>
      </c>
      <c r="AM65" s="6" t="e">
        <f t="shared" ref="AM65" si="180">AL65/((1+AL$66)^($AJ65/365))</f>
        <v>#NUM!</v>
      </c>
      <c r="AN65" s="6" t="e">
        <f t="shared" ref="AN65" si="181">$AJ65*AM65/-AL$4</f>
        <v>#NUM!</v>
      </c>
      <c r="AP65" s="6">
        <f t="shared" ref="AP65" si="182">S65</f>
        <v>0</v>
      </c>
      <c r="AQ65" s="6" t="e">
        <f t="shared" ref="AQ65" si="183">AP65/((1+AP$66)^($AJ65/365))</f>
        <v>#NUM!</v>
      </c>
      <c r="AR65" s="6" t="e">
        <f t="shared" ref="AR65" si="184">$AJ65*AQ65/-AP$4</f>
        <v>#NUM!</v>
      </c>
      <c r="AT65" s="6">
        <f t="shared" ref="AT65" si="185">AA65</f>
        <v>0</v>
      </c>
      <c r="AU65" s="6" t="e">
        <f t="shared" ref="AU65" si="186">AT65/((1+AT$66)^($AJ65/365))</f>
        <v>#NUM!</v>
      </c>
      <c r="AV65" s="6" t="e">
        <f t="shared" ref="AV65" si="187">$AJ65*AU65/-AT$4</f>
        <v>#NUM!</v>
      </c>
      <c r="AX65" s="6">
        <f t="shared" ref="AX65" si="188">AH65</f>
        <v>0</v>
      </c>
      <c r="AY65" s="6" t="e">
        <f t="shared" ref="AY65" si="189">AX65/((1+AX$66)^($AJ65/365))</f>
        <v>#NUM!</v>
      </c>
      <c r="AZ65" s="6" t="e">
        <f t="shared" ref="AZ65" si="190">$AJ65*AY65/-AX$4</f>
        <v>#NUM!</v>
      </c>
      <c r="BB65" s="6">
        <f t="shared" ref="BB65" si="191">K65</f>
        <v>0</v>
      </c>
      <c r="BC65" s="6">
        <f t="shared" ref="BC65" si="192">S65</f>
        <v>0</v>
      </c>
      <c r="BD65" s="6">
        <f t="shared" ref="BD65" si="193">AA65</f>
        <v>0</v>
      </c>
      <c r="BE65" s="6">
        <f t="shared" ref="BE65" si="194">AH65</f>
        <v>0</v>
      </c>
      <c r="BG65" s="6" t="e">
        <f t="shared" ref="BG65" si="195">+IF(AND(BU65&gt;=BT$5,BU64&lt;BT$5),1,0)</f>
        <v>#DIV/0!</v>
      </c>
      <c r="BH65" s="6" t="e">
        <f t="shared" ref="BH65" si="196">+IF(AND(BV65&gt;=BT$5,BV64&lt;BT$5),1,0)</f>
        <v>#DIV/0!</v>
      </c>
      <c r="BI65" s="6">
        <f t="shared" ref="BI65" ca="1" si="197">+IF(AND(TODAY()&gt;B64,TODAY()&lt;=B65),1,0)</f>
        <v>0</v>
      </c>
      <c r="BJ65" s="6">
        <f>+SUM(E$40:E65)</f>
        <v>0</v>
      </c>
      <c r="BK65" s="6">
        <f>+SUM(J$40:J65)+F65</f>
        <v>0</v>
      </c>
      <c r="BL65" s="6">
        <f>+SUM(R$40:R65)+N65</f>
        <v>0</v>
      </c>
      <c r="BM65" s="6">
        <f>+SUM(Z$40:Z65)+V65</f>
        <v>0</v>
      </c>
      <c r="BN65" s="7" t="e">
        <f t="shared" ref="BN65" si="198">+BK65/$BJ65</f>
        <v>#DIV/0!</v>
      </c>
      <c r="BO65" s="7" t="e">
        <f t="shared" ref="BO65" si="199">(BK65+BL65)/$BJ65</f>
        <v>#DIV/0!</v>
      </c>
      <c r="BP65" s="7" t="e">
        <f t="shared" ref="BP65" si="200">(BK65+BL65+BM65)/$BJ65</f>
        <v>#DIV/0!</v>
      </c>
      <c r="BQ65" s="7" t="e">
        <f t="shared" ref="BQ65" si="201">+(1-BN65)</f>
        <v>#DIV/0!</v>
      </c>
      <c r="BR65" s="7" t="e">
        <f t="shared" ref="BR65" si="202">+(1-BO65)</f>
        <v>#DIV/0!</v>
      </c>
      <c r="BS65" s="7" t="e">
        <f t="shared" ref="BS65" si="203">+(1-BP65)</f>
        <v>#DIV/0!</v>
      </c>
      <c r="BT65" s="31" t="e">
        <f t="shared" ref="BT65" si="204">ROUND(1/BN65,2)</f>
        <v>#DIV/0!</v>
      </c>
      <c r="BU65" s="31" t="e">
        <f t="shared" ref="BU65" si="205">ROUND(1/BO65,2)</f>
        <v>#DIV/0!</v>
      </c>
      <c r="BV65" s="31" t="e">
        <f t="shared" ref="BV65" si="206">ROUND(1/BP65,2)</f>
        <v>#DIV/0!</v>
      </c>
      <c r="BW65" s="5">
        <f t="shared" ref="BW65" si="207">+B65</f>
        <v>0</v>
      </c>
    </row>
    <row r="66" spans="2:75" x14ac:dyDescent="0.25">
      <c r="B66" s="17" t="s">
        <v>30</v>
      </c>
      <c r="C66" s="18"/>
      <c r="E66" s="19">
        <f>SUM(E5:E65)</f>
        <v>151797871</v>
      </c>
      <c r="F66" s="19">
        <f>+F65</f>
        <v>0</v>
      </c>
      <c r="G66" s="18"/>
      <c r="H66" s="19">
        <f>SUM(H5:H65)</f>
        <v>13973287.947357198</v>
      </c>
      <c r="I66" s="19">
        <f>SUM(I5:I65)</f>
        <v>88800000.000000015</v>
      </c>
      <c r="J66" s="19">
        <f>SUM(J5:J65)</f>
        <v>13973287.947357198</v>
      </c>
      <c r="K66" s="19">
        <f>SUM(K5:K65)</f>
        <v>102773287.94735721</v>
      </c>
      <c r="M66" s="19">
        <f>SUM(M5:M65)</f>
        <v>49024583.0526428</v>
      </c>
      <c r="N66" s="19">
        <f>+N65</f>
        <v>0</v>
      </c>
      <c r="O66" s="18"/>
      <c r="P66" s="19">
        <f>SUM(P5:P65)</f>
        <v>1352050.0739196253</v>
      </c>
      <c r="Q66" s="19">
        <f>SUM(Q5:Q65)</f>
        <v>3677569</v>
      </c>
      <c r="R66" s="19">
        <f>SUM(R5:R65)</f>
        <v>1352050.0739196253</v>
      </c>
      <c r="S66" s="19">
        <f>SUM(S5:S65)</f>
        <v>5029619.073919625</v>
      </c>
      <c r="U66" s="19">
        <f>SUM(U5:U65)</f>
        <v>43994963.978723168</v>
      </c>
      <c r="V66" s="19">
        <f>+V65</f>
        <v>0</v>
      </c>
      <c r="W66" s="18"/>
      <c r="X66" s="19">
        <f>SUM(X5:X65)</f>
        <v>0</v>
      </c>
      <c r="Y66" s="19">
        <f>SUM(Y5:Y65)</f>
        <v>0</v>
      </c>
      <c r="Z66" s="19">
        <f>SUM(Z5:Z65)</f>
        <v>0</v>
      </c>
      <c r="AA66" s="19">
        <f>SUM(AA5:AA65)</f>
        <v>0</v>
      </c>
      <c r="AC66" s="19">
        <f>SUM(AC5:AC65)</f>
        <v>43994963.978723168</v>
      </c>
      <c r="AD66" s="19">
        <f>+AD65</f>
        <v>100</v>
      </c>
      <c r="AE66" s="18"/>
      <c r="AF66" s="19">
        <f>SUM(AF5:AF65)</f>
        <v>-100</v>
      </c>
      <c r="AG66" s="19">
        <f>SUM(AG5:AG65)</f>
        <v>43995063.978723168</v>
      </c>
      <c r="AH66" s="19">
        <f>SUM(AH5:AH65)</f>
        <v>43994963.978723168</v>
      </c>
      <c r="AJ66" s="19"/>
      <c r="AL66" s="20" t="e">
        <f>XIRR(AL4:AL65,$B$4:$B$65)</f>
        <v>#NUM!</v>
      </c>
      <c r="AM66" s="19" t="e">
        <f>SUM(AM5:AM65)</f>
        <v>#NUM!</v>
      </c>
      <c r="AN66" s="19" t="e">
        <f>SUM(AN5:AN65)</f>
        <v>#NUM!</v>
      </c>
      <c r="AP66" s="20" t="e">
        <f>XIRR(AP4:AP65,$B$4:$B$65)</f>
        <v>#NUM!</v>
      </c>
      <c r="AQ66" s="19" t="e">
        <f>SUM(AQ5:AQ65)</f>
        <v>#NUM!</v>
      </c>
      <c r="AR66" s="19" t="e">
        <f>SUM(AR5:AR65)</f>
        <v>#NUM!</v>
      </c>
      <c r="AT66" s="20" t="e">
        <f>XIRR(AT4:AT65,$B$4:$B$65)</f>
        <v>#NUM!</v>
      </c>
      <c r="AU66" s="19" t="e">
        <f>SUM(AU5:AU65)</f>
        <v>#NUM!</v>
      </c>
      <c r="AV66" s="19" t="e">
        <f>SUM(AV5:AV65)</f>
        <v>#NUM!</v>
      </c>
      <c r="AX66" s="20" t="e">
        <f>XIRR(AX4:AX65,$B$4:$B$65)</f>
        <v>#NUM!</v>
      </c>
      <c r="AY66" s="19" t="e">
        <f>SUM(AY5:AY65)</f>
        <v>#NUM!</v>
      </c>
      <c r="AZ66" s="19" t="e">
        <f>SUM(AZ5:AZ65)</f>
        <v>#NUM!</v>
      </c>
      <c r="BB66" s="26" t="e">
        <f>XNPV(Carga!G8,BB4:BB65,$B$4:$B$65)/F5</f>
        <v>#NUM!</v>
      </c>
      <c r="BC66" s="26" t="e">
        <f>XNPV(Carga!G9,BC4:BC65,$B$4:$B$65)/N5</f>
        <v>#NUM!</v>
      </c>
      <c r="BD66" s="26" t="e">
        <f>XNPV(Carga!G10,BD4:BD65,$B$4:$B$65)/V5</f>
        <v>#NUM!</v>
      </c>
      <c r="BE66" s="18" t="e">
        <f>XNPV(Carga!G11,BE4:BE65,$B$4:$B$65)/AD5</f>
        <v>#NUM!</v>
      </c>
    </row>
    <row r="67" spans="2:75" x14ac:dyDescent="0.25">
      <c r="B67" s="21"/>
      <c r="C67" s="22"/>
      <c r="E67" s="22"/>
      <c r="F67" s="22"/>
      <c r="G67" s="22"/>
      <c r="H67" s="22"/>
      <c r="I67" s="22">
        <f>I66-F5</f>
        <v>0</v>
      </c>
      <c r="J67" s="22">
        <f>J66-H66</f>
        <v>0</v>
      </c>
      <c r="K67" s="22">
        <f>K66-H66-F5</f>
        <v>0</v>
      </c>
      <c r="M67" s="22"/>
      <c r="N67" s="22"/>
      <c r="O67" s="22"/>
      <c r="P67" s="22"/>
      <c r="Q67" s="22">
        <f>Q66-N5</f>
        <v>0</v>
      </c>
      <c r="R67" s="22">
        <f>R66-P66</f>
        <v>0</v>
      </c>
      <c r="S67" s="22">
        <f>S66-P66-N5</f>
        <v>0</v>
      </c>
      <c r="U67" s="22"/>
      <c r="V67" s="22"/>
      <c r="W67" s="22"/>
      <c r="X67" s="22"/>
      <c r="Y67" s="22">
        <f>Y66-V5</f>
        <v>0</v>
      </c>
      <c r="Z67" s="22">
        <f>Z66-X66</f>
        <v>0</v>
      </c>
      <c r="AA67" s="22">
        <f>AA66-X66-V5</f>
        <v>0</v>
      </c>
      <c r="AC67" s="22"/>
      <c r="AD67" s="22"/>
      <c r="AE67" s="22"/>
      <c r="AF67" s="22">
        <f>AF66-AD5</f>
        <v>-100</v>
      </c>
      <c r="AG67" s="22">
        <f>E66-K66-S66-AA66-AF66-AG66</f>
        <v>0</v>
      </c>
      <c r="AH67" s="22">
        <f>E66-K66-S66-AA66-AH66</f>
        <v>0</v>
      </c>
      <c r="AJ67" s="22"/>
      <c r="AL67" s="22"/>
      <c r="AM67" s="23" t="s">
        <v>17</v>
      </c>
      <c r="AN67" s="23" t="e">
        <f>+AN66/30</f>
        <v>#NUM!</v>
      </c>
      <c r="AP67" s="22"/>
      <c r="AQ67" s="23" t="s">
        <v>17</v>
      </c>
      <c r="AR67" s="23" t="e">
        <f>+AR66/30</f>
        <v>#NUM!</v>
      </c>
      <c r="AT67" s="22"/>
      <c r="AU67" s="23" t="s">
        <v>17</v>
      </c>
      <c r="AV67" s="23" t="e">
        <f>+AV66/30</f>
        <v>#NUM!</v>
      </c>
      <c r="AX67" s="22"/>
      <c r="AY67" s="22" t="e">
        <f>AY66-AD5</f>
        <v>#NUM!</v>
      </c>
      <c r="AZ67" s="23" t="e">
        <f>+AZ66/30</f>
        <v>#NUM!</v>
      </c>
      <c r="BB67" s="24"/>
      <c r="BC67" s="24"/>
    </row>
    <row r="68" spans="2:75" x14ac:dyDescent="0.25">
      <c r="AM68" s="23" t="s">
        <v>31</v>
      </c>
      <c r="AN68" s="23" t="e">
        <f>+AN67/((1+AL66)^(1/12))</f>
        <v>#NUM!</v>
      </c>
      <c r="AQ68" s="23" t="s">
        <v>31</v>
      </c>
      <c r="AR68" s="23" t="e">
        <f>+AR67/((1+AP66)^(1/12))</f>
        <v>#NUM!</v>
      </c>
      <c r="AU68" s="23" t="s">
        <v>31</v>
      </c>
      <c r="AV68" s="23" t="e">
        <f>+AV67/((1+AT66)^(1/12))</f>
        <v>#NUM!</v>
      </c>
      <c r="BB68" s="25"/>
      <c r="BC68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AB64"/>
  <sheetViews>
    <sheetView showGridLines="0" tabSelected="1" topLeftCell="H1" zoomScale="80" zoomScaleNormal="80" workbookViewId="0">
      <selection activeCell="M6" sqref="M6"/>
    </sheetView>
  </sheetViews>
  <sheetFormatPr baseColWidth="10" defaultColWidth="9" defaultRowHeight="16.5" outlineLevelCol="1" x14ac:dyDescent="0.3"/>
  <cols>
    <col min="1" max="1" width="15.5703125" style="59" hidden="1" customWidth="1" outlineLevel="1"/>
    <col min="2" max="4" width="16.28515625" style="59" hidden="1" customWidth="1" outlineLevel="1"/>
    <col min="5" max="5" width="24.5703125" style="59" hidden="1" customWidth="1" outlineLevel="1"/>
    <col min="6" max="6" width="17.85546875" style="59" hidden="1" customWidth="1" outlineLevel="1"/>
    <col min="7" max="7" width="19.85546875" style="59" hidden="1" customWidth="1" outlineLevel="1"/>
    <col min="8" max="8" width="7.85546875" style="59" customWidth="1" collapsed="1"/>
    <col min="9" max="14" width="23.7109375" style="59" customWidth="1"/>
    <col min="15" max="15" width="9" style="59" customWidth="1"/>
    <col min="16" max="16" width="13.85546875" style="59" hidden="1" customWidth="1" outlineLevel="1"/>
    <col min="17" max="18" width="16.140625" style="59" hidden="1" customWidth="1" outlineLevel="1"/>
    <col min="19" max="19" width="16" style="59" hidden="1" customWidth="1" outlineLevel="1"/>
    <col min="20" max="20" width="14.140625" style="59" hidden="1" customWidth="1" outlineLevel="1"/>
    <col min="21" max="21" width="15.7109375" style="59" hidden="1" customWidth="1" outlineLevel="1"/>
    <col min="22" max="22" width="16.7109375" style="59" customWidth="1" collapsed="1"/>
    <col min="23" max="28" width="17.28515625" style="59" customWidth="1"/>
    <col min="29" max="248" width="9" style="59"/>
    <col min="249" max="249" width="15.5703125" style="59" customWidth="1"/>
    <col min="250" max="252" width="16.28515625" style="59" customWidth="1"/>
    <col min="253" max="253" width="12.42578125" style="59" customWidth="1"/>
    <col min="254" max="254" width="12.7109375" style="59" customWidth="1"/>
    <col min="255" max="255" width="17" style="59" customWidth="1"/>
    <col min="256" max="256" width="34" style="59" customWidth="1"/>
    <col min="257" max="257" width="22.7109375" style="59" customWidth="1"/>
    <col min="258" max="258" width="15.140625" style="59" customWidth="1"/>
    <col min="259" max="259" width="19.7109375" style="59" bestFit="1" customWidth="1"/>
    <col min="260" max="260" width="17" style="59" bestFit="1" customWidth="1"/>
    <col min="261" max="261" width="9" style="59" customWidth="1"/>
    <col min="262" max="263" width="24.5703125" style="59" customWidth="1"/>
    <col min="264" max="264" width="13.85546875" style="59" customWidth="1"/>
    <col min="265" max="265" width="16.140625" style="59" customWidth="1"/>
    <col min="266" max="266" width="14.42578125" style="59" bestFit="1" customWidth="1"/>
    <col min="267" max="267" width="16" style="59" bestFit="1" customWidth="1"/>
    <col min="268" max="268" width="12.28515625" style="59" bestFit="1" customWidth="1"/>
    <col min="269" max="269" width="9" style="59"/>
    <col min="270" max="270" width="15.7109375" style="59" bestFit="1" customWidth="1"/>
    <col min="271" max="504" width="9" style="59"/>
    <col min="505" max="505" width="15.5703125" style="59" customWidth="1"/>
    <col min="506" max="508" width="16.28515625" style="59" customWidth="1"/>
    <col min="509" max="509" width="12.42578125" style="59" customWidth="1"/>
    <col min="510" max="510" width="12.7109375" style="59" customWidth="1"/>
    <col min="511" max="511" width="17" style="59" customWidth="1"/>
    <col min="512" max="512" width="34" style="59" customWidth="1"/>
    <col min="513" max="513" width="22.7109375" style="59" customWidth="1"/>
    <col min="514" max="514" width="15.140625" style="59" customWidth="1"/>
    <col min="515" max="515" width="19.7109375" style="59" bestFit="1" customWidth="1"/>
    <col min="516" max="516" width="17" style="59" bestFit="1" customWidth="1"/>
    <col min="517" max="517" width="9" style="59" customWidth="1"/>
    <col min="518" max="519" width="24.5703125" style="59" customWidth="1"/>
    <col min="520" max="520" width="13.85546875" style="59" customWidth="1"/>
    <col min="521" max="521" width="16.140625" style="59" customWidth="1"/>
    <col min="522" max="522" width="14.42578125" style="59" bestFit="1" customWidth="1"/>
    <col min="523" max="523" width="16" style="59" bestFit="1" customWidth="1"/>
    <col min="524" max="524" width="12.28515625" style="59" bestFit="1" customWidth="1"/>
    <col min="525" max="525" width="9" style="59"/>
    <col min="526" max="526" width="15.7109375" style="59" bestFit="1" customWidth="1"/>
    <col min="527" max="760" width="9" style="59"/>
    <col min="761" max="761" width="15.5703125" style="59" customWidth="1"/>
    <col min="762" max="764" width="16.28515625" style="59" customWidth="1"/>
    <col min="765" max="765" width="12.42578125" style="59" customWidth="1"/>
    <col min="766" max="766" width="12.7109375" style="59" customWidth="1"/>
    <col min="767" max="767" width="17" style="59" customWidth="1"/>
    <col min="768" max="768" width="34" style="59" customWidth="1"/>
    <col min="769" max="769" width="22.7109375" style="59" customWidth="1"/>
    <col min="770" max="770" width="15.140625" style="59" customWidth="1"/>
    <col min="771" max="771" width="19.7109375" style="59" bestFit="1" customWidth="1"/>
    <col min="772" max="772" width="17" style="59" bestFit="1" customWidth="1"/>
    <col min="773" max="773" width="9" style="59" customWidth="1"/>
    <col min="774" max="775" width="24.5703125" style="59" customWidth="1"/>
    <col min="776" max="776" width="13.85546875" style="59" customWidth="1"/>
    <col min="777" max="777" width="16.140625" style="59" customWidth="1"/>
    <col min="778" max="778" width="14.42578125" style="59" bestFit="1" customWidth="1"/>
    <col min="779" max="779" width="16" style="59" bestFit="1" customWidth="1"/>
    <col min="780" max="780" width="12.28515625" style="59" bestFit="1" customWidth="1"/>
    <col min="781" max="781" width="9" style="59"/>
    <col min="782" max="782" width="15.7109375" style="59" bestFit="1" customWidth="1"/>
    <col min="783" max="1016" width="9" style="59"/>
    <col min="1017" max="1017" width="15.5703125" style="59" customWidth="1"/>
    <col min="1018" max="1020" width="16.28515625" style="59" customWidth="1"/>
    <col min="1021" max="1021" width="12.42578125" style="59" customWidth="1"/>
    <col min="1022" max="1022" width="12.7109375" style="59" customWidth="1"/>
    <col min="1023" max="1023" width="17" style="59" customWidth="1"/>
    <col min="1024" max="1024" width="34" style="59" customWidth="1"/>
    <col min="1025" max="1025" width="22.7109375" style="59" customWidth="1"/>
    <col min="1026" max="1026" width="15.140625" style="59" customWidth="1"/>
    <col min="1027" max="1027" width="19.7109375" style="59" bestFit="1" customWidth="1"/>
    <col min="1028" max="1028" width="17" style="59" bestFit="1" customWidth="1"/>
    <col min="1029" max="1029" width="9" style="59" customWidth="1"/>
    <col min="1030" max="1031" width="24.5703125" style="59" customWidth="1"/>
    <col min="1032" max="1032" width="13.85546875" style="59" customWidth="1"/>
    <col min="1033" max="1033" width="16.140625" style="59" customWidth="1"/>
    <col min="1034" max="1034" width="14.42578125" style="59" bestFit="1" customWidth="1"/>
    <col min="1035" max="1035" width="16" style="59" bestFit="1" customWidth="1"/>
    <col min="1036" max="1036" width="12.28515625" style="59" bestFit="1" customWidth="1"/>
    <col min="1037" max="1037" width="9" style="59"/>
    <col min="1038" max="1038" width="15.7109375" style="59" bestFit="1" customWidth="1"/>
    <col min="1039" max="1272" width="9" style="59"/>
    <col min="1273" max="1273" width="15.5703125" style="59" customWidth="1"/>
    <col min="1274" max="1276" width="16.28515625" style="59" customWidth="1"/>
    <col min="1277" max="1277" width="12.42578125" style="59" customWidth="1"/>
    <col min="1278" max="1278" width="12.7109375" style="59" customWidth="1"/>
    <col min="1279" max="1279" width="17" style="59" customWidth="1"/>
    <col min="1280" max="1280" width="34" style="59" customWidth="1"/>
    <col min="1281" max="1281" width="22.7109375" style="59" customWidth="1"/>
    <col min="1282" max="1282" width="15.140625" style="59" customWidth="1"/>
    <col min="1283" max="1283" width="19.7109375" style="59" bestFit="1" customWidth="1"/>
    <col min="1284" max="1284" width="17" style="59" bestFit="1" customWidth="1"/>
    <col min="1285" max="1285" width="9" style="59" customWidth="1"/>
    <col min="1286" max="1287" width="24.5703125" style="59" customWidth="1"/>
    <col min="1288" max="1288" width="13.85546875" style="59" customWidth="1"/>
    <col min="1289" max="1289" width="16.140625" style="59" customWidth="1"/>
    <col min="1290" max="1290" width="14.42578125" style="59" bestFit="1" customWidth="1"/>
    <col min="1291" max="1291" width="16" style="59" bestFit="1" customWidth="1"/>
    <col min="1292" max="1292" width="12.28515625" style="59" bestFit="1" customWidth="1"/>
    <col min="1293" max="1293" width="9" style="59"/>
    <col min="1294" max="1294" width="15.7109375" style="59" bestFit="1" customWidth="1"/>
    <col min="1295" max="1528" width="9" style="59"/>
    <col min="1529" max="1529" width="15.5703125" style="59" customWidth="1"/>
    <col min="1530" max="1532" width="16.28515625" style="59" customWidth="1"/>
    <col min="1533" max="1533" width="12.42578125" style="59" customWidth="1"/>
    <col min="1534" max="1534" width="12.7109375" style="59" customWidth="1"/>
    <col min="1535" max="1535" width="17" style="59" customWidth="1"/>
    <col min="1536" max="1536" width="34" style="59" customWidth="1"/>
    <col min="1537" max="1537" width="22.7109375" style="59" customWidth="1"/>
    <col min="1538" max="1538" width="15.140625" style="59" customWidth="1"/>
    <col min="1539" max="1539" width="19.7109375" style="59" bestFit="1" customWidth="1"/>
    <col min="1540" max="1540" width="17" style="59" bestFit="1" customWidth="1"/>
    <col min="1541" max="1541" width="9" style="59" customWidth="1"/>
    <col min="1542" max="1543" width="24.5703125" style="59" customWidth="1"/>
    <col min="1544" max="1544" width="13.85546875" style="59" customWidth="1"/>
    <col min="1545" max="1545" width="16.140625" style="59" customWidth="1"/>
    <col min="1546" max="1546" width="14.42578125" style="59" bestFit="1" customWidth="1"/>
    <col min="1547" max="1547" width="16" style="59" bestFit="1" customWidth="1"/>
    <col min="1548" max="1548" width="12.28515625" style="59" bestFit="1" customWidth="1"/>
    <col min="1549" max="1549" width="9" style="59"/>
    <col min="1550" max="1550" width="15.7109375" style="59" bestFit="1" customWidth="1"/>
    <col min="1551" max="1784" width="9" style="59"/>
    <col min="1785" max="1785" width="15.5703125" style="59" customWidth="1"/>
    <col min="1786" max="1788" width="16.28515625" style="59" customWidth="1"/>
    <col min="1789" max="1789" width="12.42578125" style="59" customWidth="1"/>
    <col min="1790" max="1790" width="12.7109375" style="59" customWidth="1"/>
    <col min="1791" max="1791" width="17" style="59" customWidth="1"/>
    <col min="1792" max="1792" width="34" style="59" customWidth="1"/>
    <col min="1793" max="1793" width="22.7109375" style="59" customWidth="1"/>
    <col min="1794" max="1794" width="15.140625" style="59" customWidth="1"/>
    <col min="1795" max="1795" width="19.7109375" style="59" bestFit="1" customWidth="1"/>
    <col min="1796" max="1796" width="17" style="59" bestFit="1" customWidth="1"/>
    <col min="1797" max="1797" width="9" style="59" customWidth="1"/>
    <col min="1798" max="1799" width="24.5703125" style="59" customWidth="1"/>
    <col min="1800" max="1800" width="13.85546875" style="59" customWidth="1"/>
    <col min="1801" max="1801" width="16.140625" style="59" customWidth="1"/>
    <col min="1802" max="1802" width="14.42578125" style="59" bestFit="1" customWidth="1"/>
    <col min="1803" max="1803" width="16" style="59" bestFit="1" customWidth="1"/>
    <col min="1804" max="1804" width="12.28515625" style="59" bestFit="1" customWidth="1"/>
    <col min="1805" max="1805" width="9" style="59"/>
    <col min="1806" max="1806" width="15.7109375" style="59" bestFit="1" customWidth="1"/>
    <col min="1807" max="2040" width="9" style="59"/>
    <col min="2041" max="2041" width="15.5703125" style="59" customWidth="1"/>
    <col min="2042" max="2044" width="16.28515625" style="59" customWidth="1"/>
    <col min="2045" max="2045" width="12.42578125" style="59" customWidth="1"/>
    <col min="2046" max="2046" width="12.7109375" style="59" customWidth="1"/>
    <col min="2047" max="2047" width="17" style="59" customWidth="1"/>
    <col min="2048" max="2048" width="34" style="59" customWidth="1"/>
    <col min="2049" max="2049" width="22.7109375" style="59" customWidth="1"/>
    <col min="2050" max="2050" width="15.140625" style="59" customWidth="1"/>
    <col min="2051" max="2051" width="19.7109375" style="59" bestFit="1" customWidth="1"/>
    <col min="2052" max="2052" width="17" style="59" bestFit="1" customWidth="1"/>
    <col min="2053" max="2053" width="9" style="59" customWidth="1"/>
    <col min="2054" max="2055" width="24.5703125" style="59" customWidth="1"/>
    <col min="2056" max="2056" width="13.85546875" style="59" customWidth="1"/>
    <col min="2057" max="2057" width="16.140625" style="59" customWidth="1"/>
    <col min="2058" max="2058" width="14.42578125" style="59" bestFit="1" customWidth="1"/>
    <col min="2059" max="2059" width="16" style="59" bestFit="1" customWidth="1"/>
    <col min="2060" max="2060" width="12.28515625" style="59" bestFit="1" customWidth="1"/>
    <col min="2061" max="2061" width="9" style="59"/>
    <col min="2062" max="2062" width="15.7109375" style="59" bestFit="1" customWidth="1"/>
    <col min="2063" max="2296" width="9" style="59"/>
    <col min="2297" max="2297" width="15.5703125" style="59" customWidth="1"/>
    <col min="2298" max="2300" width="16.28515625" style="59" customWidth="1"/>
    <col min="2301" max="2301" width="12.42578125" style="59" customWidth="1"/>
    <col min="2302" max="2302" width="12.7109375" style="59" customWidth="1"/>
    <col min="2303" max="2303" width="17" style="59" customWidth="1"/>
    <col min="2304" max="2304" width="34" style="59" customWidth="1"/>
    <col min="2305" max="2305" width="22.7109375" style="59" customWidth="1"/>
    <col min="2306" max="2306" width="15.140625" style="59" customWidth="1"/>
    <col min="2307" max="2307" width="19.7109375" style="59" bestFit="1" customWidth="1"/>
    <col min="2308" max="2308" width="17" style="59" bestFit="1" customWidth="1"/>
    <col min="2309" max="2309" width="9" style="59" customWidth="1"/>
    <col min="2310" max="2311" width="24.5703125" style="59" customWidth="1"/>
    <col min="2312" max="2312" width="13.85546875" style="59" customWidth="1"/>
    <col min="2313" max="2313" width="16.140625" style="59" customWidth="1"/>
    <col min="2314" max="2314" width="14.42578125" style="59" bestFit="1" customWidth="1"/>
    <col min="2315" max="2315" width="16" style="59" bestFit="1" customWidth="1"/>
    <col min="2316" max="2316" width="12.28515625" style="59" bestFit="1" customWidth="1"/>
    <col min="2317" max="2317" width="9" style="59"/>
    <col min="2318" max="2318" width="15.7109375" style="59" bestFit="1" customWidth="1"/>
    <col min="2319" max="2552" width="9" style="59"/>
    <col min="2553" max="2553" width="15.5703125" style="59" customWidth="1"/>
    <col min="2554" max="2556" width="16.28515625" style="59" customWidth="1"/>
    <col min="2557" max="2557" width="12.42578125" style="59" customWidth="1"/>
    <col min="2558" max="2558" width="12.7109375" style="59" customWidth="1"/>
    <col min="2559" max="2559" width="17" style="59" customWidth="1"/>
    <col min="2560" max="2560" width="34" style="59" customWidth="1"/>
    <col min="2561" max="2561" width="22.7109375" style="59" customWidth="1"/>
    <col min="2562" max="2562" width="15.140625" style="59" customWidth="1"/>
    <col min="2563" max="2563" width="19.7109375" style="59" bestFit="1" customWidth="1"/>
    <col min="2564" max="2564" width="17" style="59" bestFit="1" customWidth="1"/>
    <col min="2565" max="2565" width="9" style="59" customWidth="1"/>
    <col min="2566" max="2567" width="24.5703125" style="59" customWidth="1"/>
    <col min="2568" max="2568" width="13.85546875" style="59" customWidth="1"/>
    <col min="2569" max="2569" width="16.140625" style="59" customWidth="1"/>
    <col min="2570" max="2570" width="14.42578125" style="59" bestFit="1" customWidth="1"/>
    <col min="2571" max="2571" width="16" style="59" bestFit="1" customWidth="1"/>
    <col min="2572" max="2572" width="12.28515625" style="59" bestFit="1" customWidth="1"/>
    <col min="2573" max="2573" width="9" style="59"/>
    <col min="2574" max="2574" width="15.7109375" style="59" bestFit="1" customWidth="1"/>
    <col min="2575" max="2808" width="9" style="59"/>
    <col min="2809" max="2809" width="15.5703125" style="59" customWidth="1"/>
    <col min="2810" max="2812" width="16.28515625" style="59" customWidth="1"/>
    <col min="2813" max="2813" width="12.42578125" style="59" customWidth="1"/>
    <col min="2814" max="2814" width="12.7109375" style="59" customWidth="1"/>
    <col min="2815" max="2815" width="17" style="59" customWidth="1"/>
    <col min="2816" max="2816" width="34" style="59" customWidth="1"/>
    <col min="2817" max="2817" width="22.7109375" style="59" customWidth="1"/>
    <col min="2818" max="2818" width="15.140625" style="59" customWidth="1"/>
    <col min="2819" max="2819" width="19.7109375" style="59" bestFit="1" customWidth="1"/>
    <col min="2820" max="2820" width="17" style="59" bestFit="1" customWidth="1"/>
    <col min="2821" max="2821" width="9" style="59" customWidth="1"/>
    <col min="2822" max="2823" width="24.5703125" style="59" customWidth="1"/>
    <col min="2824" max="2824" width="13.85546875" style="59" customWidth="1"/>
    <col min="2825" max="2825" width="16.140625" style="59" customWidth="1"/>
    <col min="2826" max="2826" width="14.42578125" style="59" bestFit="1" customWidth="1"/>
    <col min="2827" max="2827" width="16" style="59" bestFit="1" customWidth="1"/>
    <col min="2828" max="2828" width="12.28515625" style="59" bestFit="1" customWidth="1"/>
    <col min="2829" max="2829" width="9" style="59"/>
    <col min="2830" max="2830" width="15.7109375" style="59" bestFit="1" customWidth="1"/>
    <col min="2831" max="3064" width="9" style="59"/>
    <col min="3065" max="3065" width="15.5703125" style="59" customWidth="1"/>
    <col min="3066" max="3068" width="16.28515625" style="59" customWidth="1"/>
    <col min="3069" max="3069" width="12.42578125" style="59" customWidth="1"/>
    <col min="3070" max="3070" width="12.7109375" style="59" customWidth="1"/>
    <col min="3071" max="3071" width="17" style="59" customWidth="1"/>
    <col min="3072" max="3072" width="34" style="59" customWidth="1"/>
    <col min="3073" max="3073" width="22.7109375" style="59" customWidth="1"/>
    <col min="3074" max="3074" width="15.140625" style="59" customWidth="1"/>
    <col min="3075" max="3075" width="19.7109375" style="59" bestFit="1" customWidth="1"/>
    <col min="3076" max="3076" width="17" style="59" bestFit="1" customWidth="1"/>
    <col min="3077" max="3077" width="9" style="59" customWidth="1"/>
    <col min="3078" max="3079" width="24.5703125" style="59" customWidth="1"/>
    <col min="3080" max="3080" width="13.85546875" style="59" customWidth="1"/>
    <col min="3081" max="3081" width="16.140625" style="59" customWidth="1"/>
    <col min="3082" max="3082" width="14.42578125" style="59" bestFit="1" customWidth="1"/>
    <col min="3083" max="3083" width="16" style="59" bestFit="1" customWidth="1"/>
    <col min="3084" max="3084" width="12.28515625" style="59" bestFit="1" customWidth="1"/>
    <col min="3085" max="3085" width="9" style="59"/>
    <col min="3086" max="3086" width="15.7109375" style="59" bestFit="1" customWidth="1"/>
    <col min="3087" max="3320" width="9" style="59"/>
    <col min="3321" max="3321" width="15.5703125" style="59" customWidth="1"/>
    <col min="3322" max="3324" width="16.28515625" style="59" customWidth="1"/>
    <col min="3325" max="3325" width="12.42578125" style="59" customWidth="1"/>
    <col min="3326" max="3326" width="12.7109375" style="59" customWidth="1"/>
    <col min="3327" max="3327" width="17" style="59" customWidth="1"/>
    <col min="3328" max="3328" width="34" style="59" customWidth="1"/>
    <col min="3329" max="3329" width="22.7109375" style="59" customWidth="1"/>
    <col min="3330" max="3330" width="15.140625" style="59" customWidth="1"/>
    <col min="3331" max="3331" width="19.7109375" style="59" bestFit="1" customWidth="1"/>
    <col min="3332" max="3332" width="17" style="59" bestFit="1" customWidth="1"/>
    <col min="3333" max="3333" width="9" style="59" customWidth="1"/>
    <col min="3334" max="3335" width="24.5703125" style="59" customWidth="1"/>
    <col min="3336" max="3336" width="13.85546875" style="59" customWidth="1"/>
    <col min="3337" max="3337" width="16.140625" style="59" customWidth="1"/>
    <col min="3338" max="3338" width="14.42578125" style="59" bestFit="1" customWidth="1"/>
    <col min="3339" max="3339" width="16" style="59" bestFit="1" customWidth="1"/>
    <col min="3340" max="3340" width="12.28515625" style="59" bestFit="1" customWidth="1"/>
    <col min="3341" max="3341" width="9" style="59"/>
    <col min="3342" max="3342" width="15.7109375" style="59" bestFit="1" customWidth="1"/>
    <col min="3343" max="3576" width="9" style="59"/>
    <col min="3577" max="3577" width="15.5703125" style="59" customWidth="1"/>
    <col min="3578" max="3580" width="16.28515625" style="59" customWidth="1"/>
    <col min="3581" max="3581" width="12.42578125" style="59" customWidth="1"/>
    <col min="3582" max="3582" width="12.7109375" style="59" customWidth="1"/>
    <col min="3583" max="3583" width="17" style="59" customWidth="1"/>
    <col min="3584" max="3584" width="34" style="59" customWidth="1"/>
    <col min="3585" max="3585" width="22.7109375" style="59" customWidth="1"/>
    <col min="3586" max="3586" width="15.140625" style="59" customWidth="1"/>
    <col min="3587" max="3587" width="19.7109375" style="59" bestFit="1" customWidth="1"/>
    <col min="3588" max="3588" width="17" style="59" bestFit="1" customWidth="1"/>
    <col min="3589" max="3589" width="9" style="59" customWidth="1"/>
    <col min="3590" max="3591" width="24.5703125" style="59" customWidth="1"/>
    <col min="3592" max="3592" width="13.85546875" style="59" customWidth="1"/>
    <col min="3593" max="3593" width="16.140625" style="59" customWidth="1"/>
    <col min="3594" max="3594" width="14.42578125" style="59" bestFit="1" customWidth="1"/>
    <col min="3595" max="3595" width="16" style="59" bestFit="1" customWidth="1"/>
    <col min="3596" max="3596" width="12.28515625" style="59" bestFit="1" customWidth="1"/>
    <col min="3597" max="3597" width="9" style="59"/>
    <col min="3598" max="3598" width="15.7109375" style="59" bestFit="1" customWidth="1"/>
    <col min="3599" max="3832" width="9" style="59"/>
    <col min="3833" max="3833" width="15.5703125" style="59" customWidth="1"/>
    <col min="3834" max="3836" width="16.28515625" style="59" customWidth="1"/>
    <col min="3837" max="3837" width="12.42578125" style="59" customWidth="1"/>
    <col min="3838" max="3838" width="12.7109375" style="59" customWidth="1"/>
    <col min="3839" max="3839" width="17" style="59" customWidth="1"/>
    <col min="3840" max="3840" width="34" style="59" customWidth="1"/>
    <col min="3841" max="3841" width="22.7109375" style="59" customWidth="1"/>
    <col min="3842" max="3842" width="15.140625" style="59" customWidth="1"/>
    <col min="3843" max="3843" width="19.7109375" style="59" bestFit="1" customWidth="1"/>
    <col min="3844" max="3844" width="17" style="59" bestFit="1" customWidth="1"/>
    <col min="3845" max="3845" width="9" style="59" customWidth="1"/>
    <col min="3846" max="3847" width="24.5703125" style="59" customWidth="1"/>
    <col min="3848" max="3848" width="13.85546875" style="59" customWidth="1"/>
    <col min="3849" max="3849" width="16.140625" style="59" customWidth="1"/>
    <col min="3850" max="3850" width="14.42578125" style="59" bestFit="1" customWidth="1"/>
    <col min="3851" max="3851" width="16" style="59" bestFit="1" customWidth="1"/>
    <col min="3852" max="3852" width="12.28515625" style="59" bestFit="1" customWidth="1"/>
    <col min="3853" max="3853" width="9" style="59"/>
    <col min="3854" max="3854" width="15.7109375" style="59" bestFit="1" customWidth="1"/>
    <col min="3855" max="4088" width="9" style="59"/>
    <col min="4089" max="4089" width="15.5703125" style="59" customWidth="1"/>
    <col min="4090" max="4092" width="16.28515625" style="59" customWidth="1"/>
    <col min="4093" max="4093" width="12.42578125" style="59" customWidth="1"/>
    <col min="4094" max="4094" width="12.7109375" style="59" customWidth="1"/>
    <col min="4095" max="4095" width="17" style="59" customWidth="1"/>
    <col min="4096" max="4096" width="34" style="59" customWidth="1"/>
    <col min="4097" max="4097" width="22.7109375" style="59" customWidth="1"/>
    <col min="4098" max="4098" width="15.140625" style="59" customWidth="1"/>
    <col min="4099" max="4099" width="19.7109375" style="59" bestFit="1" customWidth="1"/>
    <col min="4100" max="4100" width="17" style="59" bestFit="1" customWidth="1"/>
    <col min="4101" max="4101" width="9" style="59" customWidth="1"/>
    <col min="4102" max="4103" width="24.5703125" style="59" customWidth="1"/>
    <col min="4104" max="4104" width="13.85546875" style="59" customWidth="1"/>
    <col min="4105" max="4105" width="16.140625" style="59" customWidth="1"/>
    <col min="4106" max="4106" width="14.42578125" style="59" bestFit="1" customWidth="1"/>
    <col min="4107" max="4107" width="16" style="59" bestFit="1" customWidth="1"/>
    <col min="4108" max="4108" width="12.28515625" style="59" bestFit="1" customWidth="1"/>
    <col min="4109" max="4109" width="9" style="59"/>
    <col min="4110" max="4110" width="15.7109375" style="59" bestFit="1" customWidth="1"/>
    <col min="4111" max="4344" width="9" style="59"/>
    <col min="4345" max="4345" width="15.5703125" style="59" customWidth="1"/>
    <col min="4346" max="4348" width="16.28515625" style="59" customWidth="1"/>
    <col min="4349" max="4349" width="12.42578125" style="59" customWidth="1"/>
    <col min="4350" max="4350" width="12.7109375" style="59" customWidth="1"/>
    <col min="4351" max="4351" width="17" style="59" customWidth="1"/>
    <col min="4352" max="4352" width="34" style="59" customWidth="1"/>
    <col min="4353" max="4353" width="22.7109375" style="59" customWidth="1"/>
    <col min="4354" max="4354" width="15.140625" style="59" customWidth="1"/>
    <col min="4355" max="4355" width="19.7109375" style="59" bestFit="1" customWidth="1"/>
    <col min="4356" max="4356" width="17" style="59" bestFit="1" customWidth="1"/>
    <col min="4357" max="4357" width="9" style="59" customWidth="1"/>
    <col min="4358" max="4359" width="24.5703125" style="59" customWidth="1"/>
    <col min="4360" max="4360" width="13.85546875" style="59" customWidth="1"/>
    <col min="4361" max="4361" width="16.140625" style="59" customWidth="1"/>
    <col min="4362" max="4362" width="14.42578125" style="59" bestFit="1" customWidth="1"/>
    <col min="4363" max="4363" width="16" style="59" bestFit="1" customWidth="1"/>
    <col min="4364" max="4364" width="12.28515625" style="59" bestFit="1" customWidth="1"/>
    <col min="4365" max="4365" width="9" style="59"/>
    <col min="4366" max="4366" width="15.7109375" style="59" bestFit="1" customWidth="1"/>
    <col min="4367" max="4600" width="9" style="59"/>
    <col min="4601" max="4601" width="15.5703125" style="59" customWidth="1"/>
    <col min="4602" max="4604" width="16.28515625" style="59" customWidth="1"/>
    <col min="4605" max="4605" width="12.42578125" style="59" customWidth="1"/>
    <col min="4606" max="4606" width="12.7109375" style="59" customWidth="1"/>
    <col min="4607" max="4607" width="17" style="59" customWidth="1"/>
    <col min="4608" max="4608" width="34" style="59" customWidth="1"/>
    <col min="4609" max="4609" width="22.7109375" style="59" customWidth="1"/>
    <col min="4610" max="4610" width="15.140625" style="59" customWidth="1"/>
    <col min="4611" max="4611" width="19.7109375" style="59" bestFit="1" customWidth="1"/>
    <col min="4612" max="4612" width="17" style="59" bestFit="1" customWidth="1"/>
    <col min="4613" max="4613" width="9" style="59" customWidth="1"/>
    <col min="4614" max="4615" width="24.5703125" style="59" customWidth="1"/>
    <col min="4616" max="4616" width="13.85546875" style="59" customWidth="1"/>
    <col min="4617" max="4617" width="16.140625" style="59" customWidth="1"/>
    <col min="4618" max="4618" width="14.42578125" style="59" bestFit="1" customWidth="1"/>
    <col min="4619" max="4619" width="16" style="59" bestFit="1" customWidth="1"/>
    <col min="4620" max="4620" width="12.28515625" style="59" bestFit="1" customWidth="1"/>
    <col min="4621" max="4621" width="9" style="59"/>
    <col min="4622" max="4622" width="15.7109375" style="59" bestFit="1" customWidth="1"/>
    <col min="4623" max="4856" width="9" style="59"/>
    <col min="4857" max="4857" width="15.5703125" style="59" customWidth="1"/>
    <col min="4858" max="4860" width="16.28515625" style="59" customWidth="1"/>
    <col min="4861" max="4861" width="12.42578125" style="59" customWidth="1"/>
    <col min="4862" max="4862" width="12.7109375" style="59" customWidth="1"/>
    <col min="4863" max="4863" width="17" style="59" customWidth="1"/>
    <col min="4864" max="4864" width="34" style="59" customWidth="1"/>
    <col min="4865" max="4865" width="22.7109375" style="59" customWidth="1"/>
    <col min="4866" max="4866" width="15.140625" style="59" customWidth="1"/>
    <col min="4867" max="4867" width="19.7109375" style="59" bestFit="1" customWidth="1"/>
    <col min="4868" max="4868" width="17" style="59" bestFit="1" customWidth="1"/>
    <col min="4869" max="4869" width="9" style="59" customWidth="1"/>
    <col min="4870" max="4871" width="24.5703125" style="59" customWidth="1"/>
    <col min="4872" max="4872" width="13.85546875" style="59" customWidth="1"/>
    <col min="4873" max="4873" width="16.140625" style="59" customWidth="1"/>
    <col min="4874" max="4874" width="14.42578125" style="59" bestFit="1" customWidth="1"/>
    <col min="4875" max="4875" width="16" style="59" bestFit="1" customWidth="1"/>
    <col min="4876" max="4876" width="12.28515625" style="59" bestFit="1" customWidth="1"/>
    <col min="4877" max="4877" width="9" style="59"/>
    <col min="4878" max="4878" width="15.7109375" style="59" bestFit="1" customWidth="1"/>
    <col min="4879" max="5112" width="9" style="59"/>
    <col min="5113" max="5113" width="15.5703125" style="59" customWidth="1"/>
    <col min="5114" max="5116" width="16.28515625" style="59" customWidth="1"/>
    <col min="5117" max="5117" width="12.42578125" style="59" customWidth="1"/>
    <col min="5118" max="5118" width="12.7109375" style="59" customWidth="1"/>
    <col min="5119" max="5119" width="17" style="59" customWidth="1"/>
    <col min="5120" max="5120" width="34" style="59" customWidth="1"/>
    <col min="5121" max="5121" width="22.7109375" style="59" customWidth="1"/>
    <col min="5122" max="5122" width="15.140625" style="59" customWidth="1"/>
    <col min="5123" max="5123" width="19.7109375" style="59" bestFit="1" customWidth="1"/>
    <col min="5124" max="5124" width="17" style="59" bestFit="1" customWidth="1"/>
    <col min="5125" max="5125" width="9" style="59" customWidth="1"/>
    <col min="5126" max="5127" width="24.5703125" style="59" customWidth="1"/>
    <col min="5128" max="5128" width="13.85546875" style="59" customWidth="1"/>
    <col min="5129" max="5129" width="16.140625" style="59" customWidth="1"/>
    <col min="5130" max="5130" width="14.42578125" style="59" bestFit="1" customWidth="1"/>
    <col min="5131" max="5131" width="16" style="59" bestFit="1" customWidth="1"/>
    <col min="5132" max="5132" width="12.28515625" style="59" bestFit="1" customWidth="1"/>
    <col min="5133" max="5133" width="9" style="59"/>
    <col min="5134" max="5134" width="15.7109375" style="59" bestFit="1" customWidth="1"/>
    <col min="5135" max="5368" width="9" style="59"/>
    <col min="5369" max="5369" width="15.5703125" style="59" customWidth="1"/>
    <col min="5370" max="5372" width="16.28515625" style="59" customWidth="1"/>
    <col min="5373" max="5373" width="12.42578125" style="59" customWidth="1"/>
    <col min="5374" max="5374" width="12.7109375" style="59" customWidth="1"/>
    <col min="5375" max="5375" width="17" style="59" customWidth="1"/>
    <col min="5376" max="5376" width="34" style="59" customWidth="1"/>
    <col min="5377" max="5377" width="22.7109375" style="59" customWidth="1"/>
    <col min="5378" max="5378" width="15.140625" style="59" customWidth="1"/>
    <col min="5379" max="5379" width="19.7109375" style="59" bestFit="1" customWidth="1"/>
    <col min="5380" max="5380" width="17" style="59" bestFit="1" customWidth="1"/>
    <col min="5381" max="5381" width="9" style="59" customWidth="1"/>
    <col min="5382" max="5383" width="24.5703125" style="59" customWidth="1"/>
    <col min="5384" max="5384" width="13.85546875" style="59" customWidth="1"/>
    <col min="5385" max="5385" width="16.140625" style="59" customWidth="1"/>
    <col min="5386" max="5386" width="14.42578125" style="59" bestFit="1" customWidth="1"/>
    <col min="5387" max="5387" width="16" style="59" bestFit="1" customWidth="1"/>
    <col min="5388" max="5388" width="12.28515625" style="59" bestFit="1" customWidth="1"/>
    <col min="5389" max="5389" width="9" style="59"/>
    <col min="5390" max="5390" width="15.7109375" style="59" bestFit="1" customWidth="1"/>
    <col min="5391" max="5624" width="9" style="59"/>
    <col min="5625" max="5625" width="15.5703125" style="59" customWidth="1"/>
    <col min="5626" max="5628" width="16.28515625" style="59" customWidth="1"/>
    <col min="5629" max="5629" width="12.42578125" style="59" customWidth="1"/>
    <col min="5630" max="5630" width="12.7109375" style="59" customWidth="1"/>
    <col min="5631" max="5631" width="17" style="59" customWidth="1"/>
    <col min="5632" max="5632" width="34" style="59" customWidth="1"/>
    <col min="5633" max="5633" width="22.7109375" style="59" customWidth="1"/>
    <col min="5634" max="5634" width="15.140625" style="59" customWidth="1"/>
    <col min="5635" max="5635" width="19.7109375" style="59" bestFit="1" customWidth="1"/>
    <col min="5636" max="5636" width="17" style="59" bestFit="1" customWidth="1"/>
    <col min="5637" max="5637" width="9" style="59" customWidth="1"/>
    <col min="5638" max="5639" width="24.5703125" style="59" customWidth="1"/>
    <col min="5640" max="5640" width="13.85546875" style="59" customWidth="1"/>
    <col min="5641" max="5641" width="16.140625" style="59" customWidth="1"/>
    <col min="5642" max="5642" width="14.42578125" style="59" bestFit="1" customWidth="1"/>
    <col min="5643" max="5643" width="16" style="59" bestFit="1" customWidth="1"/>
    <col min="5644" max="5644" width="12.28515625" style="59" bestFit="1" customWidth="1"/>
    <col min="5645" max="5645" width="9" style="59"/>
    <col min="5646" max="5646" width="15.7109375" style="59" bestFit="1" customWidth="1"/>
    <col min="5647" max="5880" width="9" style="59"/>
    <col min="5881" max="5881" width="15.5703125" style="59" customWidth="1"/>
    <col min="5882" max="5884" width="16.28515625" style="59" customWidth="1"/>
    <col min="5885" max="5885" width="12.42578125" style="59" customWidth="1"/>
    <col min="5886" max="5886" width="12.7109375" style="59" customWidth="1"/>
    <col min="5887" max="5887" width="17" style="59" customWidth="1"/>
    <col min="5888" max="5888" width="34" style="59" customWidth="1"/>
    <col min="5889" max="5889" width="22.7109375" style="59" customWidth="1"/>
    <col min="5890" max="5890" width="15.140625" style="59" customWidth="1"/>
    <col min="5891" max="5891" width="19.7109375" style="59" bestFit="1" customWidth="1"/>
    <col min="5892" max="5892" width="17" style="59" bestFit="1" customWidth="1"/>
    <col min="5893" max="5893" width="9" style="59" customWidth="1"/>
    <col min="5894" max="5895" width="24.5703125" style="59" customWidth="1"/>
    <col min="5896" max="5896" width="13.85546875" style="59" customWidth="1"/>
    <col min="5897" max="5897" width="16.140625" style="59" customWidth="1"/>
    <col min="5898" max="5898" width="14.42578125" style="59" bestFit="1" customWidth="1"/>
    <col min="5899" max="5899" width="16" style="59" bestFit="1" customWidth="1"/>
    <col min="5900" max="5900" width="12.28515625" style="59" bestFit="1" customWidth="1"/>
    <col min="5901" max="5901" width="9" style="59"/>
    <col min="5902" max="5902" width="15.7109375" style="59" bestFit="1" customWidth="1"/>
    <col min="5903" max="6136" width="9" style="59"/>
    <col min="6137" max="6137" width="15.5703125" style="59" customWidth="1"/>
    <col min="6138" max="6140" width="16.28515625" style="59" customWidth="1"/>
    <col min="6141" max="6141" width="12.42578125" style="59" customWidth="1"/>
    <col min="6142" max="6142" width="12.7109375" style="59" customWidth="1"/>
    <col min="6143" max="6143" width="17" style="59" customWidth="1"/>
    <col min="6144" max="6144" width="34" style="59" customWidth="1"/>
    <col min="6145" max="6145" width="22.7109375" style="59" customWidth="1"/>
    <col min="6146" max="6146" width="15.140625" style="59" customWidth="1"/>
    <col min="6147" max="6147" width="19.7109375" style="59" bestFit="1" customWidth="1"/>
    <col min="6148" max="6148" width="17" style="59" bestFit="1" customWidth="1"/>
    <col min="6149" max="6149" width="9" style="59" customWidth="1"/>
    <col min="6150" max="6151" width="24.5703125" style="59" customWidth="1"/>
    <col min="6152" max="6152" width="13.85546875" style="59" customWidth="1"/>
    <col min="6153" max="6153" width="16.140625" style="59" customWidth="1"/>
    <col min="6154" max="6154" width="14.42578125" style="59" bestFit="1" customWidth="1"/>
    <col min="6155" max="6155" width="16" style="59" bestFit="1" customWidth="1"/>
    <col min="6156" max="6156" width="12.28515625" style="59" bestFit="1" customWidth="1"/>
    <col min="6157" max="6157" width="9" style="59"/>
    <col min="6158" max="6158" width="15.7109375" style="59" bestFit="1" customWidth="1"/>
    <col min="6159" max="6392" width="9" style="59"/>
    <col min="6393" max="6393" width="15.5703125" style="59" customWidth="1"/>
    <col min="6394" max="6396" width="16.28515625" style="59" customWidth="1"/>
    <col min="6397" max="6397" width="12.42578125" style="59" customWidth="1"/>
    <col min="6398" max="6398" width="12.7109375" style="59" customWidth="1"/>
    <col min="6399" max="6399" width="17" style="59" customWidth="1"/>
    <col min="6400" max="6400" width="34" style="59" customWidth="1"/>
    <col min="6401" max="6401" width="22.7109375" style="59" customWidth="1"/>
    <col min="6402" max="6402" width="15.140625" style="59" customWidth="1"/>
    <col min="6403" max="6403" width="19.7109375" style="59" bestFit="1" customWidth="1"/>
    <col min="6404" max="6404" width="17" style="59" bestFit="1" customWidth="1"/>
    <col min="6405" max="6405" width="9" style="59" customWidth="1"/>
    <col min="6406" max="6407" width="24.5703125" style="59" customWidth="1"/>
    <col min="6408" max="6408" width="13.85546875" style="59" customWidth="1"/>
    <col min="6409" max="6409" width="16.140625" style="59" customWidth="1"/>
    <col min="6410" max="6410" width="14.42578125" style="59" bestFit="1" customWidth="1"/>
    <col min="6411" max="6411" width="16" style="59" bestFit="1" customWidth="1"/>
    <col min="6412" max="6412" width="12.28515625" style="59" bestFit="1" customWidth="1"/>
    <col min="6413" max="6413" width="9" style="59"/>
    <col min="6414" max="6414" width="15.7109375" style="59" bestFit="1" customWidth="1"/>
    <col min="6415" max="6648" width="9" style="59"/>
    <col min="6649" max="6649" width="15.5703125" style="59" customWidth="1"/>
    <col min="6650" max="6652" width="16.28515625" style="59" customWidth="1"/>
    <col min="6653" max="6653" width="12.42578125" style="59" customWidth="1"/>
    <col min="6654" max="6654" width="12.7109375" style="59" customWidth="1"/>
    <col min="6655" max="6655" width="17" style="59" customWidth="1"/>
    <col min="6656" max="6656" width="34" style="59" customWidth="1"/>
    <col min="6657" max="6657" width="22.7109375" style="59" customWidth="1"/>
    <col min="6658" max="6658" width="15.140625" style="59" customWidth="1"/>
    <col min="6659" max="6659" width="19.7109375" style="59" bestFit="1" customWidth="1"/>
    <col min="6660" max="6660" width="17" style="59" bestFit="1" customWidth="1"/>
    <col min="6661" max="6661" width="9" style="59" customWidth="1"/>
    <col min="6662" max="6663" width="24.5703125" style="59" customWidth="1"/>
    <col min="6664" max="6664" width="13.85546875" style="59" customWidth="1"/>
    <col min="6665" max="6665" width="16.140625" style="59" customWidth="1"/>
    <col min="6666" max="6666" width="14.42578125" style="59" bestFit="1" customWidth="1"/>
    <col min="6667" max="6667" width="16" style="59" bestFit="1" customWidth="1"/>
    <col min="6668" max="6668" width="12.28515625" style="59" bestFit="1" customWidth="1"/>
    <col min="6669" max="6669" width="9" style="59"/>
    <col min="6670" max="6670" width="15.7109375" style="59" bestFit="1" customWidth="1"/>
    <col min="6671" max="6904" width="9" style="59"/>
    <col min="6905" max="6905" width="15.5703125" style="59" customWidth="1"/>
    <col min="6906" max="6908" width="16.28515625" style="59" customWidth="1"/>
    <col min="6909" max="6909" width="12.42578125" style="59" customWidth="1"/>
    <col min="6910" max="6910" width="12.7109375" style="59" customWidth="1"/>
    <col min="6911" max="6911" width="17" style="59" customWidth="1"/>
    <col min="6912" max="6912" width="34" style="59" customWidth="1"/>
    <col min="6913" max="6913" width="22.7109375" style="59" customWidth="1"/>
    <col min="6914" max="6914" width="15.140625" style="59" customWidth="1"/>
    <col min="6915" max="6915" width="19.7109375" style="59" bestFit="1" customWidth="1"/>
    <col min="6916" max="6916" width="17" style="59" bestFit="1" customWidth="1"/>
    <col min="6917" max="6917" width="9" style="59" customWidth="1"/>
    <col min="6918" max="6919" width="24.5703125" style="59" customWidth="1"/>
    <col min="6920" max="6920" width="13.85546875" style="59" customWidth="1"/>
    <col min="6921" max="6921" width="16.140625" style="59" customWidth="1"/>
    <col min="6922" max="6922" width="14.42578125" style="59" bestFit="1" customWidth="1"/>
    <col min="6923" max="6923" width="16" style="59" bestFit="1" customWidth="1"/>
    <col min="6924" max="6924" width="12.28515625" style="59" bestFit="1" customWidth="1"/>
    <col min="6925" max="6925" width="9" style="59"/>
    <col min="6926" max="6926" width="15.7109375" style="59" bestFit="1" customWidth="1"/>
    <col min="6927" max="7160" width="9" style="59"/>
    <col min="7161" max="7161" width="15.5703125" style="59" customWidth="1"/>
    <col min="7162" max="7164" width="16.28515625" style="59" customWidth="1"/>
    <col min="7165" max="7165" width="12.42578125" style="59" customWidth="1"/>
    <col min="7166" max="7166" width="12.7109375" style="59" customWidth="1"/>
    <col min="7167" max="7167" width="17" style="59" customWidth="1"/>
    <col min="7168" max="7168" width="34" style="59" customWidth="1"/>
    <col min="7169" max="7169" width="22.7109375" style="59" customWidth="1"/>
    <col min="7170" max="7170" width="15.140625" style="59" customWidth="1"/>
    <col min="7171" max="7171" width="19.7109375" style="59" bestFit="1" customWidth="1"/>
    <col min="7172" max="7172" width="17" style="59" bestFit="1" customWidth="1"/>
    <col min="7173" max="7173" width="9" style="59" customWidth="1"/>
    <col min="7174" max="7175" width="24.5703125" style="59" customWidth="1"/>
    <col min="7176" max="7176" width="13.85546875" style="59" customWidth="1"/>
    <col min="7177" max="7177" width="16.140625" style="59" customWidth="1"/>
    <col min="7178" max="7178" width="14.42578125" style="59" bestFit="1" customWidth="1"/>
    <col min="7179" max="7179" width="16" style="59" bestFit="1" customWidth="1"/>
    <col min="7180" max="7180" width="12.28515625" style="59" bestFit="1" customWidth="1"/>
    <col min="7181" max="7181" width="9" style="59"/>
    <col min="7182" max="7182" width="15.7109375" style="59" bestFit="1" customWidth="1"/>
    <col min="7183" max="7416" width="9" style="59"/>
    <col min="7417" max="7417" width="15.5703125" style="59" customWidth="1"/>
    <col min="7418" max="7420" width="16.28515625" style="59" customWidth="1"/>
    <col min="7421" max="7421" width="12.42578125" style="59" customWidth="1"/>
    <col min="7422" max="7422" width="12.7109375" style="59" customWidth="1"/>
    <col min="7423" max="7423" width="17" style="59" customWidth="1"/>
    <col min="7424" max="7424" width="34" style="59" customWidth="1"/>
    <col min="7425" max="7425" width="22.7109375" style="59" customWidth="1"/>
    <col min="7426" max="7426" width="15.140625" style="59" customWidth="1"/>
    <col min="7427" max="7427" width="19.7109375" style="59" bestFit="1" customWidth="1"/>
    <col min="7428" max="7428" width="17" style="59" bestFit="1" customWidth="1"/>
    <col min="7429" max="7429" width="9" style="59" customWidth="1"/>
    <col min="7430" max="7431" width="24.5703125" style="59" customWidth="1"/>
    <col min="7432" max="7432" width="13.85546875" style="59" customWidth="1"/>
    <col min="7433" max="7433" width="16.140625" style="59" customWidth="1"/>
    <col min="7434" max="7434" width="14.42578125" style="59" bestFit="1" customWidth="1"/>
    <col min="7435" max="7435" width="16" style="59" bestFit="1" customWidth="1"/>
    <col min="7436" max="7436" width="12.28515625" style="59" bestFit="1" customWidth="1"/>
    <col min="7437" max="7437" width="9" style="59"/>
    <col min="7438" max="7438" width="15.7109375" style="59" bestFit="1" customWidth="1"/>
    <col min="7439" max="7672" width="9" style="59"/>
    <col min="7673" max="7673" width="15.5703125" style="59" customWidth="1"/>
    <col min="7674" max="7676" width="16.28515625" style="59" customWidth="1"/>
    <col min="7677" max="7677" width="12.42578125" style="59" customWidth="1"/>
    <col min="7678" max="7678" width="12.7109375" style="59" customWidth="1"/>
    <col min="7679" max="7679" width="17" style="59" customWidth="1"/>
    <col min="7680" max="7680" width="34" style="59" customWidth="1"/>
    <col min="7681" max="7681" width="22.7109375" style="59" customWidth="1"/>
    <col min="7682" max="7682" width="15.140625" style="59" customWidth="1"/>
    <col min="7683" max="7683" width="19.7109375" style="59" bestFit="1" customWidth="1"/>
    <col min="7684" max="7684" width="17" style="59" bestFit="1" customWidth="1"/>
    <col min="7685" max="7685" width="9" style="59" customWidth="1"/>
    <col min="7686" max="7687" width="24.5703125" style="59" customWidth="1"/>
    <col min="7688" max="7688" width="13.85546875" style="59" customWidth="1"/>
    <col min="7689" max="7689" width="16.140625" style="59" customWidth="1"/>
    <col min="7690" max="7690" width="14.42578125" style="59" bestFit="1" customWidth="1"/>
    <col min="7691" max="7691" width="16" style="59" bestFit="1" customWidth="1"/>
    <col min="7692" max="7692" width="12.28515625" style="59" bestFit="1" customWidth="1"/>
    <col min="7693" max="7693" width="9" style="59"/>
    <col min="7694" max="7694" width="15.7109375" style="59" bestFit="1" customWidth="1"/>
    <col min="7695" max="7928" width="9" style="59"/>
    <col min="7929" max="7929" width="15.5703125" style="59" customWidth="1"/>
    <col min="7930" max="7932" width="16.28515625" style="59" customWidth="1"/>
    <col min="7933" max="7933" width="12.42578125" style="59" customWidth="1"/>
    <col min="7934" max="7934" width="12.7109375" style="59" customWidth="1"/>
    <col min="7935" max="7935" width="17" style="59" customWidth="1"/>
    <col min="7936" max="7936" width="34" style="59" customWidth="1"/>
    <col min="7937" max="7937" width="22.7109375" style="59" customWidth="1"/>
    <col min="7938" max="7938" width="15.140625" style="59" customWidth="1"/>
    <col min="7939" max="7939" width="19.7109375" style="59" bestFit="1" customWidth="1"/>
    <col min="7940" max="7940" width="17" style="59" bestFit="1" customWidth="1"/>
    <col min="7941" max="7941" width="9" style="59" customWidth="1"/>
    <col min="7942" max="7943" width="24.5703125" style="59" customWidth="1"/>
    <col min="7944" max="7944" width="13.85546875" style="59" customWidth="1"/>
    <col min="7945" max="7945" width="16.140625" style="59" customWidth="1"/>
    <col min="7946" max="7946" width="14.42578125" style="59" bestFit="1" customWidth="1"/>
    <col min="7947" max="7947" width="16" style="59" bestFit="1" customWidth="1"/>
    <col min="7948" max="7948" width="12.28515625" style="59" bestFit="1" customWidth="1"/>
    <col min="7949" max="7949" width="9" style="59"/>
    <col min="7950" max="7950" width="15.7109375" style="59" bestFit="1" customWidth="1"/>
    <col min="7951" max="8184" width="9" style="59"/>
    <col min="8185" max="8185" width="15.5703125" style="59" customWidth="1"/>
    <col min="8186" max="8188" width="16.28515625" style="59" customWidth="1"/>
    <col min="8189" max="8189" width="12.42578125" style="59" customWidth="1"/>
    <col min="8190" max="8190" width="12.7109375" style="59" customWidth="1"/>
    <col min="8191" max="8191" width="17" style="59" customWidth="1"/>
    <col min="8192" max="8192" width="34" style="59" customWidth="1"/>
    <col min="8193" max="8193" width="22.7109375" style="59" customWidth="1"/>
    <col min="8194" max="8194" width="15.140625" style="59" customWidth="1"/>
    <col min="8195" max="8195" width="19.7109375" style="59" bestFit="1" customWidth="1"/>
    <col min="8196" max="8196" width="17" style="59" bestFit="1" customWidth="1"/>
    <col min="8197" max="8197" width="9" style="59" customWidth="1"/>
    <col min="8198" max="8199" width="24.5703125" style="59" customWidth="1"/>
    <col min="8200" max="8200" width="13.85546875" style="59" customWidth="1"/>
    <col min="8201" max="8201" width="16.140625" style="59" customWidth="1"/>
    <col min="8202" max="8202" width="14.42578125" style="59" bestFit="1" customWidth="1"/>
    <col min="8203" max="8203" width="16" style="59" bestFit="1" customWidth="1"/>
    <col min="8204" max="8204" width="12.28515625" style="59" bestFit="1" customWidth="1"/>
    <col min="8205" max="8205" width="9" style="59"/>
    <col min="8206" max="8206" width="15.7109375" style="59" bestFit="1" customWidth="1"/>
    <col min="8207" max="8440" width="9" style="59"/>
    <col min="8441" max="8441" width="15.5703125" style="59" customWidth="1"/>
    <col min="8442" max="8444" width="16.28515625" style="59" customWidth="1"/>
    <col min="8445" max="8445" width="12.42578125" style="59" customWidth="1"/>
    <col min="8446" max="8446" width="12.7109375" style="59" customWidth="1"/>
    <col min="8447" max="8447" width="17" style="59" customWidth="1"/>
    <col min="8448" max="8448" width="34" style="59" customWidth="1"/>
    <col min="8449" max="8449" width="22.7109375" style="59" customWidth="1"/>
    <col min="8450" max="8450" width="15.140625" style="59" customWidth="1"/>
    <col min="8451" max="8451" width="19.7109375" style="59" bestFit="1" customWidth="1"/>
    <col min="8452" max="8452" width="17" style="59" bestFit="1" customWidth="1"/>
    <col min="8453" max="8453" width="9" style="59" customWidth="1"/>
    <col min="8454" max="8455" width="24.5703125" style="59" customWidth="1"/>
    <col min="8456" max="8456" width="13.85546875" style="59" customWidth="1"/>
    <col min="8457" max="8457" width="16.140625" style="59" customWidth="1"/>
    <col min="8458" max="8458" width="14.42578125" style="59" bestFit="1" customWidth="1"/>
    <col min="8459" max="8459" width="16" style="59" bestFit="1" customWidth="1"/>
    <col min="8460" max="8460" width="12.28515625" style="59" bestFit="1" customWidth="1"/>
    <col min="8461" max="8461" width="9" style="59"/>
    <col min="8462" max="8462" width="15.7109375" style="59" bestFit="1" customWidth="1"/>
    <col min="8463" max="8696" width="9" style="59"/>
    <col min="8697" max="8697" width="15.5703125" style="59" customWidth="1"/>
    <col min="8698" max="8700" width="16.28515625" style="59" customWidth="1"/>
    <col min="8701" max="8701" width="12.42578125" style="59" customWidth="1"/>
    <col min="8702" max="8702" width="12.7109375" style="59" customWidth="1"/>
    <col min="8703" max="8703" width="17" style="59" customWidth="1"/>
    <col min="8704" max="8704" width="34" style="59" customWidth="1"/>
    <col min="8705" max="8705" width="22.7109375" style="59" customWidth="1"/>
    <col min="8706" max="8706" width="15.140625" style="59" customWidth="1"/>
    <col min="8707" max="8707" width="19.7109375" style="59" bestFit="1" customWidth="1"/>
    <col min="8708" max="8708" width="17" style="59" bestFit="1" customWidth="1"/>
    <col min="8709" max="8709" width="9" style="59" customWidth="1"/>
    <col min="8710" max="8711" width="24.5703125" style="59" customWidth="1"/>
    <col min="8712" max="8712" width="13.85546875" style="59" customWidth="1"/>
    <col min="8713" max="8713" width="16.140625" style="59" customWidth="1"/>
    <col min="8714" max="8714" width="14.42578125" style="59" bestFit="1" customWidth="1"/>
    <col min="8715" max="8715" width="16" style="59" bestFit="1" customWidth="1"/>
    <col min="8716" max="8716" width="12.28515625" style="59" bestFit="1" customWidth="1"/>
    <col min="8717" max="8717" width="9" style="59"/>
    <col min="8718" max="8718" width="15.7109375" style="59" bestFit="1" customWidth="1"/>
    <col min="8719" max="8952" width="9" style="59"/>
    <col min="8953" max="8953" width="15.5703125" style="59" customWidth="1"/>
    <col min="8954" max="8956" width="16.28515625" style="59" customWidth="1"/>
    <col min="8957" max="8957" width="12.42578125" style="59" customWidth="1"/>
    <col min="8958" max="8958" width="12.7109375" style="59" customWidth="1"/>
    <col min="8959" max="8959" width="17" style="59" customWidth="1"/>
    <col min="8960" max="8960" width="34" style="59" customWidth="1"/>
    <col min="8961" max="8961" width="22.7109375" style="59" customWidth="1"/>
    <col min="8962" max="8962" width="15.140625" style="59" customWidth="1"/>
    <col min="8963" max="8963" width="19.7109375" style="59" bestFit="1" customWidth="1"/>
    <col min="8964" max="8964" width="17" style="59" bestFit="1" customWidth="1"/>
    <col min="8965" max="8965" width="9" style="59" customWidth="1"/>
    <col min="8966" max="8967" width="24.5703125" style="59" customWidth="1"/>
    <col min="8968" max="8968" width="13.85546875" style="59" customWidth="1"/>
    <col min="8969" max="8969" width="16.140625" style="59" customWidth="1"/>
    <col min="8970" max="8970" width="14.42578125" style="59" bestFit="1" customWidth="1"/>
    <col min="8971" max="8971" width="16" style="59" bestFit="1" customWidth="1"/>
    <col min="8972" max="8972" width="12.28515625" style="59" bestFit="1" customWidth="1"/>
    <col min="8973" max="8973" width="9" style="59"/>
    <col min="8974" max="8974" width="15.7109375" style="59" bestFit="1" customWidth="1"/>
    <col min="8975" max="9208" width="9" style="59"/>
    <col min="9209" max="9209" width="15.5703125" style="59" customWidth="1"/>
    <col min="9210" max="9212" width="16.28515625" style="59" customWidth="1"/>
    <col min="9213" max="9213" width="12.42578125" style="59" customWidth="1"/>
    <col min="9214" max="9214" width="12.7109375" style="59" customWidth="1"/>
    <col min="9215" max="9215" width="17" style="59" customWidth="1"/>
    <col min="9216" max="9216" width="34" style="59" customWidth="1"/>
    <col min="9217" max="9217" width="22.7109375" style="59" customWidth="1"/>
    <col min="9218" max="9218" width="15.140625" style="59" customWidth="1"/>
    <col min="9219" max="9219" width="19.7109375" style="59" bestFit="1" customWidth="1"/>
    <col min="9220" max="9220" width="17" style="59" bestFit="1" customWidth="1"/>
    <col min="9221" max="9221" width="9" style="59" customWidth="1"/>
    <col min="9222" max="9223" width="24.5703125" style="59" customWidth="1"/>
    <col min="9224" max="9224" width="13.85546875" style="59" customWidth="1"/>
    <col min="9225" max="9225" width="16.140625" style="59" customWidth="1"/>
    <col min="9226" max="9226" width="14.42578125" style="59" bestFit="1" customWidth="1"/>
    <col min="9227" max="9227" width="16" style="59" bestFit="1" customWidth="1"/>
    <col min="9228" max="9228" width="12.28515625" style="59" bestFit="1" customWidth="1"/>
    <col min="9229" max="9229" width="9" style="59"/>
    <col min="9230" max="9230" width="15.7109375" style="59" bestFit="1" customWidth="1"/>
    <col min="9231" max="9464" width="9" style="59"/>
    <col min="9465" max="9465" width="15.5703125" style="59" customWidth="1"/>
    <col min="9466" max="9468" width="16.28515625" style="59" customWidth="1"/>
    <col min="9469" max="9469" width="12.42578125" style="59" customWidth="1"/>
    <col min="9470" max="9470" width="12.7109375" style="59" customWidth="1"/>
    <col min="9471" max="9471" width="17" style="59" customWidth="1"/>
    <col min="9472" max="9472" width="34" style="59" customWidth="1"/>
    <col min="9473" max="9473" width="22.7109375" style="59" customWidth="1"/>
    <col min="9474" max="9474" width="15.140625" style="59" customWidth="1"/>
    <col min="9475" max="9475" width="19.7109375" style="59" bestFit="1" customWidth="1"/>
    <col min="9476" max="9476" width="17" style="59" bestFit="1" customWidth="1"/>
    <col min="9477" max="9477" width="9" style="59" customWidth="1"/>
    <col min="9478" max="9479" width="24.5703125" style="59" customWidth="1"/>
    <col min="9480" max="9480" width="13.85546875" style="59" customWidth="1"/>
    <col min="9481" max="9481" width="16.140625" style="59" customWidth="1"/>
    <col min="9482" max="9482" width="14.42578125" style="59" bestFit="1" customWidth="1"/>
    <col min="9483" max="9483" width="16" style="59" bestFit="1" customWidth="1"/>
    <col min="9484" max="9484" width="12.28515625" style="59" bestFit="1" customWidth="1"/>
    <col min="9485" max="9485" width="9" style="59"/>
    <col min="9486" max="9486" width="15.7109375" style="59" bestFit="1" customWidth="1"/>
    <col min="9487" max="9720" width="9" style="59"/>
    <col min="9721" max="9721" width="15.5703125" style="59" customWidth="1"/>
    <col min="9722" max="9724" width="16.28515625" style="59" customWidth="1"/>
    <col min="9725" max="9725" width="12.42578125" style="59" customWidth="1"/>
    <col min="9726" max="9726" width="12.7109375" style="59" customWidth="1"/>
    <col min="9727" max="9727" width="17" style="59" customWidth="1"/>
    <col min="9728" max="9728" width="34" style="59" customWidth="1"/>
    <col min="9729" max="9729" width="22.7109375" style="59" customWidth="1"/>
    <col min="9730" max="9730" width="15.140625" style="59" customWidth="1"/>
    <col min="9731" max="9731" width="19.7109375" style="59" bestFit="1" customWidth="1"/>
    <col min="9732" max="9732" width="17" style="59" bestFit="1" customWidth="1"/>
    <col min="9733" max="9733" width="9" style="59" customWidth="1"/>
    <col min="9734" max="9735" width="24.5703125" style="59" customWidth="1"/>
    <col min="9736" max="9736" width="13.85546875" style="59" customWidth="1"/>
    <col min="9737" max="9737" width="16.140625" style="59" customWidth="1"/>
    <col min="9738" max="9738" width="14.42578125" style="59" bestFit="1" customWidth="1"/>
    <col min="9739" max="9739" width="16" style="59" bestFit="1" customWidth="1"/>
    <col min="9740" max="9740" width="12.28515625" style="59" bestFit="1" customWidth="1"/>
    <col min="9741" max="9741" width="9" style="59"/>
    <col min="9742" max="9742" width="15.7109375" style="59" bestFit="1" customWidth="1"/>
    <col min="9743" max="9976" width="9" style="59"/>
    <col min="9977" max="9977" width="15.5703125" style="59" customWidth="1"/>
    <col min="9978" max="9980" width="16.28515625" style="59" customWidth="1"/>
    <col min="9981" max="9981" width="12.42578125" style="59" customWidth="1"/>
    <col min="9982" max="9982" width="12.7109375" style="59" customWidth="1"/>
    <col min="9983" max="9983" width="17" style="59" customWidth="1"/>
    <col min="9984" max="9984" width="34" style="59" customWidth="1"/>
    <col min="9985" max="9985" width="22.7109375" style="59" customWidth="1"/>
    <col min="9986" max="9986" width="15.140625" style="59" customWidth="1"/>
    <col min="9987" max="9987" width="19.7109375" style="59" bestFit="1" customWidth="1"/>
    <col min="9988" max="9988" width="17" style="59" bestFit="1" customWidth="1"/>
    <col min="9989" max="9989" width="9" style="59" customWidth="1"/>
    <col min="9990" max="9991" width="24.5703125" style="59" customWidth="1"/>
    <col min="9992" max="9992" width="13.85546875" style="59" customWidth="1"/>
    <col min="9993" max="9993" width="16.140625" style="59" customWidth="1"/>
    <col min="9994" max="9994" width="14.42578125" style="59" bestFit="1" customWidth="1"/>
    <col min="9995" max="9995" width="16" style="59" bestFit="1" customWidth="1"/>
    <col min="9996" max="9996" width="12.28515625" style="59" bestFit="1" customWidth="1"/>
    <col min="9997" max="9997" width="9" style="59"/>
    <col min="9998" max="9998" width="15.7109375" style="59" bestFit="1" customWidth="1"/>
    <col min="9999" max="10232" width="9" style="59"/>
    <col min="10233" max="10233" width="15.5703125" style="59" customWidth="1"/>
    <col min="10234" max="10236" width="16.28515625" style="59" customWidth="1"/>
    <col min="10237" max="10237" width="12.42578125" style="59" customWidth="1"/>
    <col min="10238" max="10238" width="12.7109375" style="59" customWidth="1"/>
    <col min="10239" max="10239" width="17" style="59" customWidth="1"/>
    <col min="10240" max="10240" width="34" style="59" customWidth="1"/>
    <col min="10241" max="10241" width="22.7109375" style="59" customWidth="1"/>
    <col min="10242" max="10242" width="15.140625" style="59" customWidth="1"/>
    <col min="10243" max="10243" width="19.7109375" style="59" bestFit="1" customWidth="1"/>
    <col min="10244" max="10244" width="17" style="59" bestFit="1" customWidth="1"/>
    <col min="10245" max="10245" width="9" style="59" customWidth="1"/>
    <col min="10246" max="10247" width="24.5703125" style="59" customWidth="1"/>
    <col min="10248" max="10248" width="13.85546875" style="59" customWidth="1"/>
    <col min="10249" max="10249" width="16.140625" style="59" customWidth="1"/>
    <col min="10250" max="10250" width="14.42578125" style="59" bestFit="1" customWidth="1"/>
    <col min="10251" max="10251" width="16" style="59" bestFit="1" customWidth="1"/>
    <col min="10252" max="10252" width="12.28515625" style="59" bestFit="1" customWidth="1"/>
    <col min="10253" max="10253" width="9" style="59"/>
    <col min="10254" max="10254" width="15.7109375" style="59" bestFit="1" customWidth="1"/>
    <col min="10255" max="10488" width="9" style="59"/>
    <col min="10489" max="10489" width="15.5703125" style="59" customWidth="1"/>
    <col min="10490" max="10492" width="16.28515625" style="59" customWidth="1"/>
    <col min="10493" max="10493" width="12.42578125" style="59" customWidth="1"/>
    <col min="10494" max="10494" width="12.7109375" style="59" customWidth="1"/>
    <col min="10495" max="10495" width="17" style="59" customWidth="1"/>
    <col min="10496" max="10496" width="34" style="59" customWidth="1"/>
    <col min="10497" max="10497" width="22.7109375" style="59" customWidth="1"/>
    <col min="10498" max="10498" width="15.140625" style="59" customWidth="1"/>
    <col min="10499" max="10499" width="19.7109375" style="59" bestFit="1" customWidth="1"/>
    <col min="10500" max="10500" width="17" style="59" bestFit="1" customWidth="1"/>
    <col min="10501" max="10501" width="9" style="59" customWidth="1"/>
    <col min="10502" max="10503" width="24.5703125" style="59" customWidth="1"/>
    <col min="10504" max="10504" width="13.85546875" style="59" customWidth="1"/>
    <col min="10505" max="10505" width="16.140625" style="59" customWidth="1"/>
    <col min="10506" max="10506" width="14.42578125" style="59" bestFit="1" customWidth="1"/>
    <col min="10507" max="10507" width="16" style="59" bestFit="1" customWidth="1"/>
    <col min="10508" max="10508" width="12.28515625" style="59" bestFit="1" customWidth="1"/>
    <col min="10509" max="10509" width="9" style="59"/>
    <col min="10510" max="10510" width="15.7109375" style="59" bestFit="1" customWidth="1"/>
    <col min="10511" max="10744" width="9" style="59"/>
    <col min="10745" max="10745" width="15.5703125" style="59" customWidth="1"/>
    <col min="10746" max="10748" width="16.28515625" style="59" customWidth="1"/>
    <col min="10749" max="10749" width="12.42578125" style="59" customWidth="1"/>
    <col min="10750" max="10750" width="12.7109375" style="59" customWidth="1"/>
    <col min="10751" max="10751" width="17" style="59" customWidth="1"/>
    <col min="10752" max="10752" width="34" style="59" customWidth="1"/>
    <col min="10753" max="10753" width="22.7109375" style="59" customWidth="1"/>
    <col min="10754" max="10754" width="15.140625" style="59" customWidth="1"/>
    <col min="10755" max="10755" width="19.7109375" style="59" bestFit="1" customWidth="1"/>
    <col min="10756" max="10756" width="17" style="59" bestFit="1" customWidth="1"/>
    <col min="10757" max="10757" width="9" style="59" customWidth="1"/>
    <col min="10758" max="10759" width="24.5703125" style="59" customWidth="1"/>
    <col min="10760" max="10760" width="13.85546875" style="59" customWidth="1"/>
    <col min="10761" max="10761" width="16.140625" style="59" customWidth="1"/>
    <col min="10762" max="10762" width="14.42578125" style="59" bestFit="1" customWidth="1"/>
    <col min="10763" max="10763" width="16" style="59" bestFit="1" customWidth="1"/>
    <col min="10764" max="10764" width="12.28515625" style="59" bestFit="1" customWidth="1"/>
    <col min="10765" max="10765" width="9" style="59"/>
    <col min="10766" max="10766" width="15.7109375" style="59" bestFit="1" customWidth="1"/>
    <col min="10767" max="11000" width="9" style="59"/>
    <col min="11001" max="11001" width="15.5703125" style="59" customWidth="1"/>
    <col min="11002" max="11004" width="16.28515625" style="59" customWidth="1"/>
    <col min="11005" max="11005" width="12.42578125" style="59" customWidth="1"/>
    <col min="11006" max="11006" width="12.7109375" style="59" customWidth="1"/>
    <col min="11007" max="11007" width="17" style="59" customWidth="1"/>
    <col min="11008" max="11008" width="34" style="59" customWidth="1"/>
    <col min="11009" max="11009" width="22.7109375" style="59" customWidth="1"/>
    <col min="11010" max="11010" width="15.140625" style="59" customWidth="1"/>
    <col min="11011" max="11011" width="19.7109375" style="59" bestFit="1" customWidth="1"/>
    <col min="11012" max="11012" width="17" style="59" bestFit="1" customWidth="1"/>
    <col min="11013" max="11013" width="9" style="59" customWidth="1"/>
    <col min="11014" max="11015" width="24.5703125" style="59" customWidth="1"/>
    <col min="11016" max="11016" width="13.85546875" style="59" customWidth="1"/>
    <col min="11017" max="11017" width="16.140625" style="59" customWidth="1"/>
    <col min="11018" max="11018" width="14.42578125" style="59" bestFit="1" customWidth="1"/>
    <col min="11019" max="11019" width="16" style="59" bestFit="1" customWidth="1"/>
    <col min="11020" max="11020" width="12.28515625" style="59" bestFit="1" customWidth="1"/>
    <col min="11021" max="11021" width="9" style="59"/>
    <col min="11022" max="11022" width="15.7109375" style="59" bestFit="1" customWidth="1"/>
    <col min="11023" max="11256" width="9" style="59"/>
    <col min="11257" max="11257" width="15.5703125" style="59" customWidth="1"/>
    <col min="11258" max="11260" width="16.28515625" style="59" customWidth="1"/>
    <col min="11261" max="11261" width="12.42578125" style="59" customWidth="1"/>
    <col min="11262" max="11262" width="12.7109375" style="59" customWidth="1"/>
    <col min="11263" max="11263" width="17" style="59" customWidth="1"/>
    <col min="11264" max="11264" width="34" style="59" customWidth="1"/>
    <col min="11265" max="11265" width="22.7109375" style="59" customWidth="1"/>
    <col min="11266" max="11266" width="15.140625" style="59" customWidth="1"/>
    <col min="11267" max="11267" width="19.7109375" style="59" bestFit="1" customWidth="1"/>
    <col min="11268" max="11268" width="17" style="59" bestFit="1" customWidth="1"/>
    <col min="11269" max="11269" width="9" style="59" customWidth="1"/>
    <col min="11270" max="11271" width="24.5703125" style="59" customWidth="1"/>
    <col min="11272" max="11272" width="13.85546875" style="59" customWidth="1"/>
    <col min="11273" max="11273" width="16.140625" style="59" customWidth="1"/>
    <col min="11274" max="11274" width="14.42578125" style="59" bestFit="1" customWidth="1"/>
    <col min="11275" max="11275" width="16" style="59" bestFit="1" customWidth="1"/>
    <col min="11276" max="11276" width="12.28515625" style="59" bestFit="1" customWidth="1"/>
    <col min="11277" max="11277" width="9" style="59"/>
    <col min="11278" max="11278" width="15.7109375" style="59" bestFit="1" customWidth="1"/>
    <col min="11279" max="11512" width="9" style="59"/>
    <col min="11513" max="11513" width="15.5703125" style="59" customWidth="1"/>
    <col min="11514" max="11516" width="16.28515625" style="59" customWidth="1"/>
    <col min="11517" max="11517" width="12.42578125" style="59" customWidth="1"/>
    <col min="11518" max="11518" width="12.7109375" style="59" customWidth="1"/>
    <col min="11519" max="11519" width="17" style="59" customWidth="1"/>
    <col min="11520" max="11520" width="34" style="59" customWidth="1"/>
    <col min="11521" max="11521" width="22.7109375" style="59" customWidth="1"/>
    <col min="11522" max="11522" width="15.140625" style="59" customWidth="1"/>
    <col min="11523" max="11523" width="19.7109375" style="59" bestFit="1" customWidth="1"/>
    <col min="11524" max="11524" width="17" style="59" bestFit="1" customWidth="1"/>
    <col min="11525" max="11525" width="9" style="59" customWidth="1"/>
    <col min="11526" max="11527" width="24.5703125" style="59" customWidth="1"/>
    <col min="11528" max="11528" width="13.85546875" style="59" customWidth="1"/>
    <col min="11529" max="11529" width="16.140625" style="59" customWidth="1"/>
    <col min="11530" max="11530" width="14.42578125" style="59" bestFit="1" customWidth="1"/>
    <col min="11531" max="11531" width="16" style="59" bestFit="1" customWidth="1"/>
    <col min="11532" max="11532" width="12.28515625" style="59" bestFit="1" customWidth="1"/>
    <col min="11533" max="11533" width="9" style="59"/>
    <col min="11534" max="11534" width="15.7109375" style="59" bestFit="1" customWidth="1"/>
    <col min="11535" max="11768" width="9" style="59"/>
    <col min="11769" max="11769" width="15.5703125" style="59" customWidth="1"/>
    <col min="11770" max="11772" width="16.28515625" style="59" customWidth="1"/>
    <col min="11773" max="11773" width="12.42578125" style="59" customWidth="1"/>
    <col min="11774" max="11774" width="12.7109375" style="59" customWidth="1"/>
    <col min="11775" max="11775" width="17" style="59" customWidth="1"/>
    <col min="11776" max="11776" width="34" style="59" customWidth="1"/>
    <col min="11777" max="11777" width="22.7109375" style="59" customWidth="1"/>
    <col min="11778" max="11778" width="15.140625" style="59" customWidth="1"/>
    <col min="11779" max="11779" width="19.7109375" style="59" bestFit="1" customWidth="1"/>
    <col min="11780" max="11780" width="17" style="59" bestFit="1" customWidth="1"/>
    <col min="11781" max="11781" width="9" style="59" customWidth="1"/>
    <col min="11782" max="11783" width="24.5703125" style="59" customWidth="1"/>
    <col min="11784" max="11784" width="13.85546875" style="59" customWidth="1"/>
    <col min="11785" max="11785" width="16.140625" style="59" customWidth="1"/>
    <col min="11786" max="11786" width="14.42578125" style="59" bestFit="1" customWidth="1"/>
    <col min="11787" max="11787" width="16" style="59" bestFit="1" customWidth="1"/>
    <col min="11788" max="11788" width="12.28515625" style="59" bestFit="1" customWidth="1"/>
    <col min="11789" max="11789" width="9" style="59"/>
    <col min="11790" max="11790" width="15.7109375" style="59" bestFit="1" customWidth="1"/>
    <col min="11791" max="12024" width="9" style="59"/>
    <col min="12025" max="12025" width="15.5703125" style="59" customWidth="1"/>
    <col min="12026" max="12028" width="16.28515625" style="59" customWidth="1"/>
    <col min="12029" max="12029" width="12.42578125" style="59" customWidth="1"/>
    <col min="12030" max="12030" width="12.7109375" style="59" customWidth="1"/>
    <col min="12031" max="12031" width="17" style="59" customWidth="1"/>
    <col min="12032" max="12032" width="34" style="59" customWidth="1"/>
    <col min="12033" max="12033" width="22.7109375" style="59" customWidth="1"/>
    <col min="12034" max="12034" width="15.140625" style="59" customWidth="1"/>
    <col min="12035" max="12035" width="19.7109375" style="59" bestFit="1" customWidth="1"/>
    <col min="12036" max="12036" width="17" style="59" bestFit="1" customWidth="1"/>
    <col min="12037" max="12037" width="9" style="59" customWidth="1"/>
    <col min="12038" max="12039" width="24.5703125" style="59" customWidth="1"/>
    <col min="12040" max="12040" width="13.85546875" style="59" customWidth="1"/>
    <col min="12041" max="12041" width="16.140625" style="59" customWidth="1"/>
    <col min="12042" max="12042" width="14.42578125" style="59" bestFit="1" customWidth="1"/>
    <col min="12043" max="12043" width="16" style="59" bestFit="1" customWidth="1"/>
    <col min="12044" max="12044" width="12.28515625" style="59" bestFit="1" customWidth="1"/>
    <col min="12045" max="12045" width="9" style="59"/>
    <col min="12046" max="12046" width="15.7109375" style="59" bestFit="1" customWidth="1"/>
    <col min="12047" max="12280" width="9" style="59"/>
    <col min="12281" max="12281" width="15.5703125" style="59" customWidth="1"/>
    <col min="12282" max="12284" width="16.28515625" style="59" customWidth="1"/>
    <col min="12285" max="12285" width="12.42578125" style="59" customWidth="1"/>
    <col min="12286" max="12286" width="12.7109375" style="59" customWidth="1"/>
    <col min="12287" max="12287" width="17" style="59" customWidth="1"/>
    <col min="12288" max="12288" width="34" style="59" customWidth="1"/>
    <col min="12289" max="12289" width="22.7109375" style="59" customWidth="1"/>
    <col min="12290" max="12290" width="15.140625" style="59" customWidth="1"/>
    <col min="12291" max="12291" width="19.7109375" style="59" bestFit="1" customWidth="1"/>
    <col min="12292" max="12292" width="17" style="59" bestFit="1" customWidth="1"/>
    <col min="12293" max="12293" width="9" style="59" customWidth="1"/>
    <col min="12294" max="12295" width="24.5703125" style="59" customWidth="1"/>
    <col min="12296" max="12296" width="13.85546875" style="59" customWidth="1"/>
    <col min="12297" max="12297" width="16.140625" style="59" customWidth="1"/>
    <col min="12298" max="12298" width="14.42578125" style="59" bestFit="1" customWidth="1"/>
    <col min="12299" max="12299" width="16" style="59" bestFit="1" customWidth="1"/>
    <col min="12300" max="12300" width="12.28515625" style="59" bestFit="1" customWidth="1"/>
    <col min="12301" max="12301" width="9" style="59"/>
    <col min="12302" max="12302" width="15.7109375" style="59" bestFit="1" customWidth="1"/>
    <col min="12303" max="12536" width="9" style="59"/>
    <col min="12537" max="12537" width="15.5703125" style="59" customWidth="1"/>
    <col min="12538" max="12540" width="16.28515625" style="59" customWidth="1"/>
    <col min="12541" max="12541" width="12.42578125" style="59" customWidth="1"/>
    <col min="12542" max="12542" width="12.7109375" style="59" customWidth="1"/>
    <col min="12543" max="12543" width="17" style="59" customWidth="1"/>
    <col min="12544" max="12544" width="34" style="59" customWidth="1"/>
    <col min="12545" max="12545" width="22.7109375" style="59" customWidth="1"/>
    <col min="12546" max="12546" width="15.140625" style="59" customWidth="1"/>
    <col min="12547" max="12547" width="19.7109375" style="59" bestFit="1" customWidth="1"/>
    <col min="12548" max="12548" width="17" style="59" bestFit="1" customWidth="1"/>
    <col min="12549" max="12549" width="9" style="59" customWidth="1"/>
    <col min="12550" max="12551" width="24.5703125" style="59" customWidth="1"/>
    <col min="12552" max="12552" width="13.85546875" style="59" customWidth="1"/>
    <col min="12553" max="12553" width="16.140625" style="59" customWidth="1"/>
    <col min="12554" max="12554" width="14.42578125" style="59" bestFit="1" customWidth="1"/>
    <col min="12555" max="12555" width="16" style="59" bestFit="1" customWidth="1"/>
    <col min="12556" max="12556" width="12.28515625" style="59" bestFit="1" customWidth="1"/>
    <col min="12557" max="12557" width="9" style="59"/>
    <col min="12558" max="12558" width="15.7109375" style="59" bestFit="1" customWidth="1"/>
    <col min="12559" max="12792" width="9" style="59"/>
    <col min="12793" max="12793" width="15.5703125" style="59" customWidth="1"/>
    <col min="12794" max="12796" width="16.28515625" style="59" customWidth="1"/>
    <col min="12797" max="12797" width="12.42578125" style="59" customWidth="1"/>
    <col min="12798" max="12798" width="12.7109375" style="59" customWidth="1"/>
    <col min="12799" max="12799" width="17" style="59" customWidth="1"/>
    <col min="12800" max="12800" width="34" style="59" customWidth="1"/>
    <col min="12801" max="12801" width="22.7109375" style="59" customWidth="1"/>
    <col min="12802" max="12802" width="15.140625" style="59" customWidth="1"/>
    <col min="12803" max="12803" width="19.7109375" style="59" bestFit="1" customWidth="1"/>
    <col min="12804" max="12804" width="17" style="59" bestFit="1" customWidth="1"/>
    <col min="12805" max="12805" width="9" style="59" customWidth="1"/>
    <col min="12806" max="12807" width="24.5703125" style="59" customWidth="1"/>
    <col min="12808" max="12808" width="13.85546875" style="59" customWidth="1"/>
    <col min="12809" max="12809" width="16.140625" style="59" customWidth="1"/>
    <col min="12810" max="12810" width="14.42578125" style="59" bestFit="1" customWidth="1"/>
    <col min="12811" max="12811" width="16" style="59" bestFit="1" customWidth="1"/>
    <col min="12812" max="12812" width="12.28515625" style="59" bestFit="1" customWidth="1"/>
    <col min="12813" max="12813" width="9" style="59"/>
    <col min="12814" max="12814" width="15.7109375" style="59" bestFit="1" customWidth="1"/>
    <col min="12815" max="13048" width="9" style="59"/>
    <col min="13049" max="13049" width="15.5703125" style="59" customWidth="1"/>
    <col min="13050" max="13052" width="16.28515625" style="59" customWidth="1"/>
    <col min="13053" max="13053" width="12.42578125" style="59" customWidth="1"/>
    <col min="13054" max="13054" width="12.7109375" style="59" customWidth="1"/>
    <col min="13055" max="13055" width="17" style="59" customWidth="1"/>
    <col min="13056" max="13056" width="34" style="59" customWidth="1"/>
    <col min="13057" max="13057" width="22.7109375" style="59" customWidth="1"/>
    <col min="13058" max="13058" width="15.140625" style="59" customWidth="1"/>
    <col min="13059" max="13059" width="19.7109375" style="59" bestFit="1" customWidth="1"/>
    <col min="13060" max="13060" width="17" style="59" bestFit="1" customWidth="1"/>
    <col min="13061" max="13061" width="9" style="59" customWidth="1"/>
    <col min="13062" max="13063" width="24.5703125" style="59" customWidth="1"/>
    <col min="13064" max="13064" width="13.85546875" style="59" customWidth="1"/>
    <col min="13065" max="13065" width="16.140625" style="59" customWidth="1"/>
    <col min="13066" max="13066" width="14.42578125" style="59" bestFit="1" customWidth="1"/>
    <col min="13067" max="13067" width="16" style="59" bestFit="1" customWidth="1"/>
    <col min="13068" max="13068" width="12.28515625" style="59" bestFit="1" customWidth="1"/>
    <col min="13069" max="13069" width="9" style="59"/>
    <col min="13070" max="13070" width="15.7109375" style="59" bestFit="1" customWidth="1"/>
    <col min="13071" max="13304" width="9" style="59"/>
    <col min="13305" max="13305" width="15.5703125" style="59" customWidth="1"/>
    <col min="13306" max="13308" width="16.28515625" style="59" customWidth="1"/>
    <col min="13309" max="13309" width="12.42578125" style="59" customWidth="1"/>
    <col min="13310" max="13310" width="12.7109375" style="59" customWidth="1"/>
    <col min="13311" max="13311" width="17" style="59" customWidth="1"/>
    <col min="13312" max="13312" width="34" style="59" customWidth="1"/>
    <col min="13313" max="13313" width="22.7109375" style="59" customWidth="1"/>
    <col min="13314" max="13314" width="15.140625" style="59" customWidth="1"/>
    <col min="13315" max="13315" width="19.7109375" style="59" bestFit="1" customWidth="1"/>
    <col min="13316" max="13316" width="17" style="59" bestFit="1" customWidth="1"/>
    <col min="13317" max="13317" width="9" style="59" customWidth="1"/>
    <col min="13318" max="13319" width="24.5703125" style="59" customWidth="1"/>
    <col min="13320" max="13320" width="13.85546875" style="59" customWidth="1"/>
    <col min="13321" max="13321" width="16.140625" style="59" customWidth="1"/>
    <col min="13322" max="13322" width="14.42578125" style="59" bestFit="1" customWidth="1"/>
    <col min="13323" max="13323" width="16" style="59" bestFit="1" customWidth="1"/>
    <col min="13324" max="13324" width="12.28515625" style="59" bestFit="1" customWidth="1"/>
    <col min="13325" max="13325" width="9" style="59"/>
    <col min="13326" max="13326" width="15.7109375" style="59" bestFit="1" customWidth="1"/>
    <col min="13327" max="13560" width="9" style="59"/>
    <col min="13561" max="13561" width="15.5703125" style="59" customWidth="1"/>
    <col min="13562" max="13564" width="16.28515625" style="59" customWidth="1"/>
    <col min="13565" max="13565" width="12.42578125" style="59" customWidth="1"/>
    <col min="13566" max="13566" width="12.7109375" style="59" customWidth="1"/>
    <col min="13567" max="13567" width="17" style="59" customWidth="1"/>
    <col min="13568" max="13568" width="34" style="59" customWidth="1"/>
    <col min="13569" max="13569" width="22.7109375" style="59" customWidth="1"/>
    <col min="13570" max="13570" width="15.140625" style="59" customWidth="1"/>
    <col min="13571" max="13571" width="19.7109375" style="59" bestFit="1" customWidth="1"/>
    <col min="13572" max="13572" width="17" style="59" bestFit="1" customWidth="1"/>
    <col min="13573" max="13573" width="9" style="59" customWidth="1"/>
    <col min="13574" max="13575" width="24.5703125" style="59" customWidth="1"/>
    <col min="13576" max="13576" width="13.85546875" style="59" customWidth="1"/>
    <col min="13577" max="13577" width="16.140625" style="59" customWidth="1"/>
    <col min="13578" max="13578" width="14.42578125" style="59" bestFit="1" customWidth="1"/>
    <col min="13579" max="13579" width="16" style="59" bestFit="1" customWidth="1"/>
    <col min="13580" max="13580" width="12.28515625" style="59" bestFit="1" customWidth="1"/>
    <col min="13581" max="13581" width="9" style="59"/>
    <col min="13582" max="13582" width="15.7109375" style="59" bestFit="1" customWidth="1"/>
    <col min="13583" max="13816" width="9" style="59"/>
    <col min="13817" max="13817" width="15.5703125" style="59" customWidth="1"/>
    <col min="13818" max="13820" width="16.28515625" style="59" customWidth="1"/>
    <col min="13821" max="13821" width="12.42578125" style="59" customWidth="1"/>
    <col min="13822" max="13822" width="12.7109375" style="59" customWidth="1"/>
    <col min="13823" max="13823" width="17" style="59" customWidth="1"/>
    <col min="13824" max="13824" width="34" style="59" customWidth="1"/>
    <col min="13825" max="13825" width="22.7109375" style="59" customWidth="1"/>
    <col min="13826" max="13826" width="15.140625" style="59" customWidth="1"/>
    <col min="13827" max="13827" width="19.7109375" style="59" bestFit="1" customWidth="1"/>
    <col min="13828" max="13828" width="17" style="59" bestFit="1" customWidth="1"/>
    <col min="13829" max="13829" width="9" style="59" customWidth="1"/>
    <col min="13830" max="13831" width="24.5703125" style="59" customWidth="1"/>
    <col min="13832" max="13832" width="13.85546875" style="59" customWidth="1"/>
    <col min="13833" max="13833" width="16.140625" style="59" customWidth="1"/>
    <col min="13834" max="13834" width="14.42578125" style="59" bestFit="1" customWidth="1"/>
    <col min="13835" max="13835" width="16" style="59" bestFit="1" customWidth="1"/>
    <col min="13836" max="13836" width="12.28515625" style="59" bestFit="1" customWidth="1"/>
    <col min="13837" max="13837" width="9" style="59"/>
    <col min="13838" max="13838" width="15.7109375" style="59" bestFit="1" customWidth="1"/>
    <col min="13839" max="14072" width="9" style="59"/>
    <col min="14073" max="14073" width="15.5703125" style="59" customWidth="1"/>
    <col min="14074" max="14076" width="16.28515625" style="59" customWidth="1"/>
    <col min="14077" max="14077" width="12.42578125" style="59" customWidth="1"/>
    <col min="14078" max="14078" width="12.7109375" style="59" customWidth="1"/>
    <col min="14079" max="14079" width="17" style="59" customWidth="1"/>
    <col min="14080" max="14080" width="34" style="59" customWidth="1"/>
    <col min="14081" max="14081" width="22.7109375" style="59" customWidth="1"/>
    <col min="14082" max="14082" width="15.140625" style="59" customWidth="1"/>
    <col min="14083" max="14083" width="19.7109375" style="59" bestFit="1" customWidth="1"/>
    <col min="14084" max="14084" width="17" style="59" bestFit="1" customWidth="1"/>
    <col min="14085" max="14085" width="9" style="59" customWidth="1"/>
    <col min="14086" max="14087" width="24.5703125" style="59" customWidth="1"/>
    <col min="14088" max="14088" width="13.85546875" style="59" customWidth="1"/>
    <col min="14089" max="14089" width="16.140625" style="59" customWidth="1"/>
    <col min="14090" max="14090" width="14.42578125" style="59" bestFit="1" customWidth="1"/>
    <col min="14091" max="14091" width="16" style="59" bestFit="1" customWidth="1"/>
    <col min="14092" max="14092" width="12.28515625" style="59" bestFit="1" customWidth="1"/>
    <col min="14093" max="14093" width="9" style="59"/>
    <col min="14094" max="14094" width="15.7109375" style="59" bestFit="1" customWidth="1"/>
    <col min="14095" max="14328" width="9" style="59"/>
    <col min="14329" max="14329" width="15.5703125" style="59" customWidth="1"/>
    <col min="14330" max="14332" width="16.28515625" style="59" customWidth="1"/>
    <col min="14333" max="14333" width="12.42578125" style="59" customWidth="1"/>
    <col min="14334" max="14334" width="12.7109375" style="59" customWidth="1"/>
    <col min="14335" max="14335" width="17" style="59" customWidth="1"/>
    <col min="14336" max="14336" width="34" style="59" customWidth="1"/>
    <col min="14337" max="14337" width="22.7109375" style="59" customWidth="1"/>
    <col min="14338" max="14338" width="15.140625" style="59" customWidth="1"/>
    <col min="14339" max="14339" width="19.7109375" style="59" bestFit="1" customWidth="1"/>
    <col min="14340" max="14340" width="17" style="59" bestFit="1" customWidth="1"/>
    <col min="14341" max="14341" width="9" style="59" customWidth="1"/>
    <col min="14342" max="14343" width="24.5703125" style="59" customWidth="1"/>
    <col min="14344" max="14344" width="13.85546875" style="59" customWidth="1"/>
    <col min="14345" max="14345" width="16.140625" style="59" customWidth="1"/>
    <col min="14346" max="14346" width="14.42578125" style="59" bestFit="1" customWidth="1"/>
    <col min="14347" max="14347" width="16" style="59" bestFit="1" customWidth="1"/>
    <col min="14348" max="14348" width="12.28515625" style="59" bestFit="1" customWidth="1"/>
    <col min="14349" max="14349" width="9" style="59"/>
    <col min="14350" max="14350" width="15.7109375" style="59" bestFit="1" customWidth="1"/>
    <col min="14351" max="14584" width="9" style="59"/>
    <col min="14585" max="14585" width="15.5703125" style="59" customWidth="1"/>
    <col min="14586" max="14588" width="16.28515625" style="59" customWidth="1"/>
    <col min="14589" max="14589" width="12.42578125" style="59" customWidth="1"/>
    <col min="14590" max="14590" width="12.7109375" style="59" customWidth="1"/>
    <col min="14591" max="14591" width="17" style="59" customWidth="1"/>
    <col min="14592" max="14592" width="34" style="59" customWidth="1"/>
    <col min="14593" max="14593" width="22.7109375" style="59" customWidth="1"/>
    <col min="14594" max="14594" width="15.140625" style="59" customWidth="1"/>
    <col min="14595" max="14595" width="19.7109375" style="59" bestFit="1" customWidth="1"/>
    <col min="14596" max="14596" width="17" style="59" bestFit="1" customWidth="1"/>
    <col min="14597" max="14597" width="9" style="59" customWidth="1"/>
    <col min="14598" max="14599" width="24.5703125" style="59" customWidth="1"/>
    <col min="14600" max="14600" width="13.85546875" style="59" customWidth="1"/>
    <col min="14601" max="14601" width="16.140625" style="59" customWidth="1"/>
    <col min="14602" max="14602" width="14.42578125" style="59" bestFit="1" customWidth="1"/>
    <col min="14603" max="14603" width="16" style="59" bestFit="1" customWidth="1"/>
    <col min="14604" max="14604" width="12.28515625" style="59" bestFit="1" customWidth="1"/>
    <col min="14605" max="14605" width="9" style="59"/>
    <col min="14606" max="14606" width="15.7109375" style="59" bestFit="1" customWidth="1"/>
    <col min="14607" max="14840" width="9" style="59"/>
    <col min="14841" max="14841" width="15.5703125" style="59" customWidth="1"/>
    <col min="14842" max="14844" width="16.28515625" style="59" customWidth="1"/>
    <col min="14845" max="14845" width="12.42578125" style="59" customWidth="1"/>
    <col min="14846" max="14846" width="12.7109375" style="59" customWidth="1"/>
    <col min="14847" max="14847" width="17" style="59" customWidth="1"/>
    <col min="14848" max="14848" width="34" style="59" customWidth="1"/>
    <col min="14849" max="14849" width="22.7109375" style="59" customWidth="1"/>
    <col min="14850" max="14850" width="15.140625" style="59" customWidth="1"/>
    <col min="14851" max="14851" width="19.7109375" style="59" bestFit="1" customWidth="1"/>
    <col min="14852" max="14852" width="17" style="59" bestFit="1" customWidth="1"/>
    <col min="14853" max="14853" width="9" style="59" customWidth="1"/>
    <col min="14854" max="14855" width="24.5703125" style="59" customWidth="1"/>
    <col min="14856" max="14856" width="13.85546875" style="59" customWidth="1"/>
    <col min="14857" max="14857" width="16.140625" style="59" customWidth="1"/>
    <col min="14858" max="14858" width="14.42578125" style="59" bestFit="1" customWidth="1"/>
    <col min="14859" max="14859" width="16" style="59" bestFit="1" customWidth="1"/>
    <col min="14860" max="14860" width="12.28515625" style="59" bestFit="1" customWidth="1"/>
    <col min="14861" max="14861" width="9" style="59"/>
    <col min="14862" max="14862" width="15.7109375" style="59" bestFit="1" customWidth="1"/>
    <col min="14863" max="15096" width="9" style="59"/>
    <col min="15097" max="15097" width="15.5703125" style="59" customWidth="1"/>
    <col min="15098" max="15100" width="16.28515625" style="59" customWidth="1"/>
    <col min="15101" max="15101" width="12.42578125" style="59" customWidth="1"/>
    <col min="15102" max="15102" width="12.7109375" style="59" customWidth="1"/>
    <col min="15103" max="15103" width="17" style="59" customWidth="1"/>
    <col min="15104" max="15104" width="34" style="59" customWidth="1"/>
    <col min="15105" max="15105" width="22.7109375" style="59" customWidth="1"/>
    <col min="15106" max="15106" width="15.140625" style="59" customWidth="1"/>
    <col min="15107" max="15107" width="19.7109375" style="59" bestFit="1" customWidth="1"/>
    <col min="15108" max="15108" width="17" style="59" bestFit="1" customWidth="1"/>
    <col min="15109" max="15109" width="9" style="59" customWidth="1"/>
    <col min="15110" max="15111" width="24.5703125" style="59" customWidth="1"/>
    <col min="15112" max="15112" width="13.85546875" style="59" customWidth="1"/>
    <col min="15113" max="15113" width="16.140625" style="59" customWidth="1"/>
    <col min="15114" max="15114" width="14.42578125" style="59" bestFit="1" customWidth="1"/>
    <col min="15115" max="15115" width="16" style="59" bestFit="1" customWidth="1"/>
    <col min="15116" max="15116" width="12.28515625" style="59" bestFit="1" customWidth="1"/>
    <col min="15117" max="15117" width="9" style="59"/>
    <col min="15118" max="15118" width="15.7109375" style="59" bestFit="1" customWidth="1"/>
    <col min="15119" max="15352" width="9" style="59"/>
    <col min="15353" max="15353" width="15.5703125" style="59" customWidth="1"/>
    <col min="15354" max="15356" width="16.28515625" style="59" customWidth="1"/>
    <col min="15357" max="15357" width="12.42578125" style="59" customWidth="1"/>
    <col min="15358" max="15358" width="12.7109375" style="59" customWidth="1"/>
    <col min="15359" max="15359" width="17" style="59" customWidth="1"/>
    <col min="15360" max="15360" width="34" style="59" customWidth="1"/>
    <col min="15361" max="15361" width="22.7109375" style="59" customWidth="1"/>
    <col min="15362" max="15362" width="15.140625" style="59" customWidth="1"/>
    <col min="15363" max="15363" width="19.7109375" style="59" bestFit="1" customWidth="1"/>
    <col min="15364" max="15364" width="17" style="59" bestFit="1" customWidth="1"/>
    <col min="15365" max="15365" width="9" style="59" customWidth="1"/>
    <col min="15366" max="15367" width="24.5703125" style="59" customWidth="1"/>
    <col min="15368" max="15368" width="13.85546875" style="59" customWidth="1"/>
    <col min="15369" max="15369" width="16.140625" style="59" customWidth="1"/>
    <col min="15370" max="15370" width="14.42578125" style="59" bestFit="1" customWidth="1"/>
    <col min="15371" max="15371" width="16" style="59" bestFit="1" customWidth="1"/>
    <col min="15372" max="15372" width="12.28515625" style="59" bestFit="1" customWidth="1"/>
    <col min="15373" max="15373" width="9" style="59"/>
    <col min="15374" max="15374" width="15.7109375" style="59" bestFit="1" customWidth="1"/>
    <col min="15375" max="15608" width="9" style="59"/>
    <col min="15609" max="15609" width="15.5703125" style="59" customWidth="1"/>
    <col min="15610" max="15612" width="16.28515625" style="59" customWidth="1"/>
    <col min="15613" max="15613" width="12.42578125" style="59" customWidth="1"/>
    <col min="15614" max="15614" width="12.7109375" style="59" customWidth="1"/>
    <col min="15615" max="15615" width="17" style="59" customWidth="1"/>
    <col min="15616" max="15616" width="34" style="59" customWidth="1"/>
    <col min="15617" max="15617" width="22.7109375" style="59" customWidth="1"/>
    <col min="15618" max="15618" width="15.140625" style="59" customWidth="1"/>
    <col min="15619" max="15619" width="19.7109375" style="59" bestFit="1" customWidth="1"/>
    <col min="15620" max="15620" width="17" style="59" bestFit="1" customWidth="1"/>
    <col min="15621" max="15621" width="9" style="59" customWidth="1"/>
    <col min="15622" max="15623" width="24.5703125" style="59" customWidth="1"/>
    <col min="15624" max="15624" width="13.85546875" style="59" customWidth="1"/>
    <col min="15625" max="15625" width="16.140625" style="59" customWidth="1"/>
    <col min="15626" max="15626" width="14.42578125" style="59" bestFit="1" customWidth="1"/>
    <col min="15627" max="15627" width="16" style="59" bestFit="1" customWidth="1"/>
    <col min="15628" max="15628" width="12.28515625" style="59" bestFit="1" customWidth="1"/>
    <col min="15629" max="15629" width="9" style="59"/>
    <col min="15630" max="15630" width="15.7109375" style="59" bestFit="1" customWidth="1"/>
    <col min="15631" max="15864" width="9" style="59"/>
    <col min="15865" max="15865" width="15.5703125" style="59" customWidth="1"/>
    <col min="15866" max="15868" width="16.28515625" style="59" customWidth="1"/>
    <col min="15869" max="15869" width="12.42578125" style="59" customWidth="1"/>
    <col min="15870" max="15870" width="12.7109375" style="59" customWidth="1"/>
    <col min="15871" max="15871" width="17" style="59" customWidth="1"/>
    <col min="15872" max="15872" width="34" style="59" customWidth="1"/>
    <col min="15873" max="15873" width="22.7109375" style="59" customWidth="1"/>
    <col min="15874" max="15874" width="15.140625" style="59" customWidth="1"/>
    <col min="15875" max="15875" width="19.7109375" style="59" bestFit="1" customWidth="1"/>
    <col min="15876" max="15876" width="17" style="59" bestFit="1" customWidth="1"/>
    <col min="15877" max="15877" width="9" style="59" customWidth="1"/>
    <col min="15878" max="15879" width="24.5703125" style="59" customWidth="1"/>
    <col min="15880" max="15880" width="13.85546875" style="59" customWidth="1"/>
    <col min="15881" max="15881" width="16.140625" style="59" customWidth="1"/>
    <col min="15882" max="15882" width="14.42578125" style="59" bestFit="1" customWidth="1"/>
    <col min="15883" max="15883" width="16" style="59" bestFit="1" customWidth="1"/>
    <col min="15884" max="15884" width="12.28515625" style="59" bestFit="1" customWidth="1"/>
    <col min="15885" max="15885" width="9" style="59"/>
    <col min="15886" max="15886" width="15.7109375" style="59" bestFit="1" customWidth="1"/>
    <col min="15887" max="16120" width="9" style="59"/>
    <col min="16121" max="16121" width="15.5703125" style="59" customWidth="1"/>
    <col min="16122" max="16124" width="16.28515625" style="59" customWidth="1"/>
    <col min="16125" max="16125" width="12.42578125" style="59" customWidth="1"/>
    <col min="16126" max="16126" width="12.7109375" style="59" customWidth="1"/>
    <col min="16127" max="16127" width="17" style="59" customWidth="1"/>
    <col min="16128" max="16128" width="34" style="59" customWidth="1"/>
    <col min="16129" max="16129" width="22.7109375" style="59" customWidth="1"/>
    <col min="16130" max="16130" width="15.140625" style="59" customWidth="1"/>
    <col min="16131" max="16131" width="19.7109375" style="59" bestFit="1" customWidth="1"/>
    <col min="16132" max="16132" width="17" style="59" bestFit="1" customWidth="1"/>
    <col min="16133" max="16133" width="9" style="59" customWidth="1"/>
    <col min="16134" max="16135" width="24.5703125" style="59" customWidth="1"/>
    <col min="16136" max="16136" width="13.85546875" style="59" customWidth="1"/>
    <col min="16137" max="16137" width="16.140625" style="59" customWidth="1"/>
    <col min="16138" max="16138" width="14.42578125" style="59" bestFit="1" customWidth="1"/>
    <col min="16139" max="16139" width="16" style="59" bestFit="1" customWidth="1"/>
    <col min="16140" max="16140" width="12.28515625" style="59" bestFit="1" customWidth="1"/>
    <col min="16141" max="16141" width="9" style="59"/>
    <col min="16142" max="16142" width="15.7109375" style="59" bestFit="1" customWidth="1"/>
    <col min="16143" max="16384" width="9" style="59"/>
  </cols>
  <sheetData>
    <row r="1" spans="1:28" s="35" customFormat="1" x14ac:dyDescent="0.3"/>
    <row r="2" spans="1:28" s="35" customFormat="1" ht="16.5" customHeight="1" x14ac:dyDescent="0.55000000000000004">
      <c r="M2" s="34"/>
      <c r="N2" s="34"/>
      <c r="O2" s="36"/>
      <c r="P2" s="37"/>
      <c r="Q2" s="37"/>
      <c r="R2" s="38"/>
      <c r="S2" s="38"/>
      <c r="T2" s="37"/>
      <c r="U2" s="39"/>
    </row>
    <row r="3" spans="1:28" s="35" customFormat="1" x14ac:dyDescent="0.3">
      <c r="I3" s="40"/>
      <c r="J3" s="40"/>
      <c r="K3" s="40"/>
      <c r="L3" s="40"/>
      <c r="M3" s="40"/>
      <c r="N3" s="40"/>
      <c r="O3" s="40"/>
      <c r="P3" s="40"/>
      <c r="Q3" s="37"/>
      <c r="R3" s="38"/>
      <c r="S3" s="40"/>
      <c r="T3" s="41"/>
      <c r="U3" s="42"/>
      <c r="V3" s="43"/>
    </row>
    <row r="4" spans="1:28" s="35" customFormat="1" ht="33" x14ac:dyDescent="0.6">
      <c r="I4" s="112" t="s">
        <v>69</v>
      </c>
      <c r="J4" s="34"/>
      <c r="K4" s="34"/>
      <c r="L4" s="112" t="str">
        <f>+Carga!C4&amp;" - VDF A"</f>
        <v>MIS XV - VDF A</v>
      </c>
      <c r="M4" s="40"/>
      <c r="N4" s="40"/>
      <c r="O4" s="40"/>
      <c r="P4" s="40"/>
      <c r="Q4" s="37"/>
      <c r="R4" s="38"/>
      <c r="S4" s="40"/>
      <c r="T4" s="41"/>
    </row>
    <row r="5" spans="1:28" s="35" customFormat="1" x14ac:dyDescent="0.3">
      <c r="F5" s="44" t="s">
        <v>32</v>
      </c>
      <c r="G5" s="89">
        <f>+Carga!C8</f>
        <v>88800000</v>
      </c>
      <c r="O5" s="40"/>
      <c r="P5" s="45" t="s">
        <v>46</v>
      </c>
      <c r="Q5" s="46">
        <f>+J11</f>
        <v>44061</v>
      </c>
      <c r="R5" s="38"/>
      <c r="S5" s="40"/>
      <c r="T5" s="41"/>
    </row>
    <row r="6" spans="1:28" s="35" customFormat="1" ht="16.5" customHeight="1" x14ac:dyDescent="0.3">
      <c r="I6" s="44" t="s">
        <v>48</v>
      </c>
      <c r="J6" s="89" t="str">
        <f>+Carga!H8</f>
        <v>AAAsf(arg)</v>
      </c>
      <c r="L6" s="95" t="s">
        <v>63</v>
      </c>
      <c r="M6" s="115">
        <v>0.2969</v>
      </c>
      <c r="O6" s="40"/>
      <c r="P6" s="48"/>
      <c r="Q6" s="48"/>
      <c r="R6" s="48"/>
      <c r="S6" s="40"/>
      <c r="T6" s="41"/>
      <c r="W6" s="108"/>
      <c r="X6" s="108"/>
      <c r="Y6" s="108"/>
      <c r="Z6" s="107"/>
      <c r="AA6" s="107"/>
      <c r="AB6" s="106"/>
    </row>
    <row r="7" spans="1:28" s="35" customFormat="1" x14ac:dyDescent="0.3">
      <c r="I7" s="44" t="s">
        <v>8</v>
      </c>
      <c r="J7" s="90">
        <f>+Carga!D8</f>
        <v>0.3</v>
      </c>
      <c r="L7" s="95" t="s">
        <v>67</v>
      </c>
      <c r="M7" s="115">
        <v>0.34499999999999997</v>
      </c>
      <c r="N7" s="119" t="s">
        <v>73</v>
      </c>
      <c r="O7" s="49"/>
      <c r="P7" s="40"/>
      <c r="Q7" s="50"/>
      <c r="R7" s="38"/>
      <c r="S7" s="40"/>
      <c r="T7" s="40"/>
      <c r="U7" s="39"/>
      <c r="W7" s="108"/>
      <c r="X7" s="108"/>
      <c r="Y7" s="108"/>
      <c r="Z7" s="107"/>
      <c r="AA7" s="107"/>
      <c r="AB7" s="106"/>
    </row>
    <row r="8" spans="1:28" s="35" customFormat="1" x14ac:dyDescent="0.3">
      <c r="I8" s="44" t="s">
        <v>10</v>
      </c>
      <c r="J8" s="90">
        <f>+Carga!F8</f>
        <v>0.4</v>
      </c>
      <c r="L8" s="52" t="s">
        <v>72</v>
      </c>
      <c r="M8" s="116">
        <f>(((1+M7)^(30/365))-1)*365/30</f>
        <v>0.30003375885409278</v>
      </c>
      <c r="N8" s="119" t="s">
        <v>73</v>
      </c>
      <c r="O8" s="51"/>
      <c r="P8" s="40"/>
      <c r="Q8" s="50"/>
      <c r="R8" s="38"/>
      <c r="S8" s="40"/>
      <c r="T8" s="40"/>
      <c r="V8" s="110"/>
      <c r="W8" s="108"/>
      <c r="X8" s="108"/>
      <c r="Y8" s="108"/>
      <c r="Z8" s="107"/>
      <c r="AA8" s="107"/>
      <c r="AB8" s="106"/>
    </row>
    <row r="9" spans="1:28" s="35" customFormat="1" x14ac:dyDescent="0.3">
      <c r="I9" s="52" t="s">
        <v>9</v>
      </c>
      <c r="J9" s="91">
        <f>+Carga!E8*10000</f>
        <v>100</v>
      </c>
      <c r="L9" s="117" t="s">
        <v>65</v>
      </c>
      <c r="M9" s="118">
        <f>(XNPV(M7,AA17:AA30,W17:W30)/AB17)*100</f>
        <v>99.762695630354543</v>
      </c>
      <c r="O9" s="40"/>
      <c r="P9" s="47" t="s">
        <v>64</v>
      </c>
      <c r="Q9" s="53">
        <f>+Q54</f>
        <v>88870645.14436397</v>
      </c>
      <c r="R9" s="53"/>
      <c r="S9" s="40"/>
      <c r="T9" s="40"/>
      <c r="V9" s="109"/>
      <c r="W9" s="108"/>
      <c r="X9" s="108"/>
      <c r="Y9" s="108"/>
      <c r="Z9" s="107"/>
      <c r="AA9" s="107"/>
      <c r="AB9" s="106"/>
    </row>
    <row r="10" spans="1:28" s="35" customFormat="1" x14ac:dyDescent="0.3">
      <c r="F10" s="44" t="s">
        <v>34</v>
      </c>
      <c r="G10" s="88">
        <f>+Carga!F5</f>
        <v>44043</v>
      </c>
      <c r="O10" s="40"/>
      <c r="P10" s="54"/>
      <c r="Q10" s="55"/>
      <c r="R10" s="38"/>
      <c r="S10" s="40"/>
      <c r="U10" s="56"/>
      <c r="V10" s="109"/>
    </row>
    <row r="11" spans="1:28" s="35" customFormat="1" ht="16.5" customHeight="1" x14ac:dyDescent="0.3">
      <c r="I11" s="44" t="s">
        <v>33</v>
      </c>
      <c r="J11" s="92">
        <f>+'Flujos de fondo MIN'!B4</f>
        <v>44061</v>
      </c>
      <c r="L11" s="52" t="s">
        <v>75</v>
      </c>
      <c r="M11" s="120">
        <f>XIRR(M17:M53,I17:I53)</f>
        <v>0.35393243432044985</v>
      </c>
      <c r="N11" s="119" t="s">
        <v>74</v>
      </c>
      <c r="O11" s="40"/>
      <c r="P11" s="40"/>
      <c r="Q11" s="55"/>
      <c r="R11" s="57"/>
      <c r="T11" s="40"/>
    </row>
    <row r="12" spans="1:28" s="35" customFormat="1" ht="16.5" customHeight="1" x14ac:dyDescent="0.3">
      <c r="I12" s="44" t="s">
        <v>66</v>
      </c>
      <c r="J12" s="93">
        <f>+R56</f>
        <v>5.8316801068760658</v>
      </c>
      <c r="L12" s="52" t="s">
        <v>76</v>
      </c>
      <c r="M12" s="120">
        <f>(((1+M11)^(30/365))-1)*365/30</f>
        <v>0.30681809656741166</v>
      </c>
      <c r="N12" s="119" t="s">
        <v>74</v>
      </c>
      <c r="O12" s="40"/>
      <c r="P12" s="58"/>
      <c r="Q12" s="37"/>
      <c r="R12" s="38"/>
      <c r="S12" s="40"/>
      <c r="T12" s="40"/>
    </row>
    <row r="13" spans="1:28" x14ac:dyDescent="0.3">
      <c r="C13" s="35"/>
      <c r="E13" s="60"/>
      <c r="F13" s="60"/>
      <c r="L13" s="123" t="s">
        <v>77</v>
      </c>
      <c r="M13" s="124">
        <f>(M12-M6)*10000</f>
        <v>99.180965674116607</v>
      </c>
      <c r="Q13" s="61"/>
      <c r="S13" s="62"/>
      <c r="U13" s="35"/>
    </row>
    <row r="14" spans="1:28" ht="17.25" thickBot="1" x14ac:dyDescent="0.35">
      <c r="D14" s="63"/>
      <c r="S14" s="35"/>
      <c r="T14" s="35"/>
      <c r="U14" s="35"/>
      <c r="W14" s="114" t="s">
        <v>71</v>
      </c>
    </row>
    <row r="15" spans="1:28" ht="17.25" thickBot="1" x14ac:dyDescent="0.35">
      <c r="A15" s="144" t="s">
        <v>35</v>
      </c>
      <c r="B15" s="146" t="s">
        <v>36</v>
      </c>
      <c r="C15" s="147"/>
      <c r="D15" s="147"/>
      <c r="E15" s="147"/>
      <c r="F15" s="147"/>
      <c r="G15" s="148"/>
      <c r="H15" s="64"/>
      <c r="I15" s="149" t="s">
        <v>12</v>
      </c>
      <c r="J15" s="149"/>
      <c r="K15" s="149"/>
      <c r="L15" s="149"/>
      <c r="M15" s="149"/>
      <c r="N15" s="149"/>
      <c r="P15" s="65"/>
      <c r="U15" s="35"/>
      <c r="W15" s="140" t="s">
        <v>12</v>
      </c>
      <c r="X15" s="141"/>
      <c r="Y15" s="141"/>
      <c r="Z15" s="141"/>
      <c r="AA15" s="141"/>
      <c r="AB15" s="142"/>
    </row>
    <row r="16" spans="1:28" ht="17.25" thickBot="1" x14ac:dyDescent="0.35">
      <c r="A16" s="145"/>
      <c r="B16" s="66" t="s">
        <v>37</v>
      </c>
      <c r="C16" s="64" t="s">
        <v>38</v>
      </c>
      <c r="D16" s="150" t="s">
        <v>39</v>
      </c>
      <c r="E16" s="152" t="s">
        <v>40</v>
      </c>
      <c r="F16" s="154" t="s">
        <v>41</v>
      </c>
      <c r="G16" s="67" t="s">
        <v>42</v>
      </c>
      <c r="H16" s="64"/>
      <c r="I16" s="94" t="s">
        <v>19</v>
      </c>
      <c r="J16" s="94" t="s">
        <v>70</v>
      </c>
      <c r="K16" s="94" t="s">
        <v>43</v>
      </c>
      <c r="L16" s="94" t="s">
        <v>44</v>
      </c>
      <c r="M16" s="94" t="s">
        <v>30</v>
      </c>
      <c r="N16" s="94" t="s">
        <v>45</v>
      </c>
      <c r="P16" s="68" t="s">
        <v>27</v>
      </c>
      <c r="Q16" s="69" t="s">
        <v>29</v>
      </c>
      <c r="R16" s="69" t="s">
        <v>17</v>
      </c>
      <c r="U16" s="69"/>
      <c r="W16" s="94" t="s">
        <v>19</v>
      </c>
      <c r="X16" s="94" t="s">
        <v>70</v>
      </c>
      <c r="Y16" s="94" t="s">
        <v>43</v>
      </c>
      <c r="Z16" s="94" t="s">
        <v>44</v>
      </c>
      <c r="AA16" s="94" t="s">
        <v>30</v>
      </c>
      <c r="AB16" s="94" t="s">
        <v>45</v>
      </c>
    </row>
    <row r="17" spans="1:28" x14ac:dyDescent="0.3">
      <c r="A17" s="70"/>
      <c r="B17" s="71">
        <f>Carga!F5</f>
        <v>44043</v>
      </c>
      <c r="C17" s="72"/>
      <c r="D17" s="151"/>
      <c r="E17" s="153"/>
      <c r="F17" s="155"/>
      <c r="G17" s="73">
        <v>0</v>
      </c>
      <c r="H17" s="74"/>
      <c r="I17" s="129">
        <f>+Q5</f>
        <v>44061</v>
      </c>
      <c r="J17" s="99"/>
      <c r="K17" s="100"/>
      <c r="L17" s="100"/>
      <c r="M17" s="121">
        <f>-N17*M9/100</f>
        <v>-88589273.71975483</v>
      </c>
      <c r="N17" s="102">
        <f>+G5</f>
        <v>88800000</v>
      </c>
      <c r="P17" s="75"/>
      <c r="Q17" s="76"/>
      <c r="R17" s="76"/>
      <c r="U17" s="77"/>
      <c r="W17" s="129">
        <f>J11</f>
        <v>44061</v>
      </c>
      <c r="X17" s="99"/>
      <c r="Y17" s="100"/>
      <c r="Z17" s="100"/>
      <c r="AA17" s="101">
        <v>0</v>
      </c>
      <c r="AB17" s="102">
        <f>G5</f>
        <v>88800000</v>
      </c>
    </row>
    <row r="18" spans="1:28" x14ac:dyDescent="0.3">
      <c r="A18" s="78">
        <f>+'Flujos de fondo MIN'!E5*$N$17/$G$5</f>
        <v>9097931</v>
      </c>
      <c r="B18" s="71">
        <f>+Carga!I5</f>
        <v>44074</v>
      </c>
      <c r="C18" s="79">
        <f>30*Carga!C13</f>
        <v>30</v>
      </c>
      <c r="D18" s="80">
        <f>Carga!L5</f>
        <v>0.2969</v>
      </c>
      <c r="E18" s="81">
        <f t="shared" ref="E18:E53" si="0">+MAX($J$7,MIN($J$8,$D18+$J$9/10000))</f>
        <v>0.30690000000000001</v>
      </c>
      <c r="F18" s="74">
        <f>+((E18*N17)/360)*$C18</f>
        <v>2271060</v>
      </c>
      <c r="G18" s="73">
        <f t="shared" ref="G18:G53" si="1">+G17+F18-L18</f>
        <v>0</v>
      </c>
      <c r="H18" s="74"/>
      <c r="I18" s="128">
        <f>+'Flujos de fondo MIN'!B5</f>
        <v>44095</v>
      </c>
      <c r="J18" s="104">
        <f>+E18</f>
        <v>0.30690000000000001</v>
      </c>
      <c r="K18" s="82">
        <f>+A18-L18</f>
        <v>6826871</v>
      </c>
      <c r="L18" s="82">
        <f t="shared" ref="L18:L53" si="2">+MIN($A18,F18+G17)</f>
        <v>2271060</v>
      </c>
      <c r="M18" s="82">
        <f>+L18+K18</f>
        <v>9097931</v>
      </c>
      <c r="N18" s="105">
        <f t="shared" ref="N18:N53" si="3">+N17-K18</f>
        <v>81973129</v>
      </c>
      <c r="P18" s="75">
        <f t="shared" ref="P18:P53" si="4">+I18-$Q$5</f>
        <v>34</v>
      </c>
      <c r="Q18" s="76">
        <f t="shared" ref="Q18:Q53" si="5">+M18/(1+$M$7)^(P18/365)</f>
        <v>8850179.3089162391</v>
      </c>
      <c r="R18" s="76">
        <f t="shared" ref="R18:R53" si="6">+P18*Q18</f>
        <v>300906096.50315213</v>
      </c>
      <c r="U18" s="77"/>
      <c r="V18" s="77"/>
      <c r="W18" s="128">
        <v>44095</v>
      </c>
      <c r="X18" s="104">
        <v>0.3</v>
      </c>
      <c r="Y18" s="82">
        <v>6877931</v>
      </c>
      <c r="Z18" s="82">
        <v>2220000</v>
      </c>
      <c r="AA18" s="82">
        <f>+Y18+Z18</f>
        <v>9097931</v>
      </c>
      <c r="AB18" s="105">
        <f t="shared" ref="AB18:AB22" si="7">+AB17-Y18</f>
        <v>81922069</v>
      </c>
    </row>
    <row r="19" spans="1:28" x14ac:dyDescent="0.3">
      <c r="A19" s="78">
        <f>+'Flujos de fondo MIN'!E6*$N$17/$G$5</f>
        <v>10213320</v>
      </c>
      <c r="B19" s="71">
        <f>+Carga!I6</f>
        <v>44104</v>
      </c>
      <c r="C19" s="79">
        <v>30</v>
      </c>
      <c r="D19" s="80">
        <f>+IF(B19&lt;=$Q$5+C19,Carga!L6,$M$6)</f>
        <v>0.2969</v>
      </c>
      <c r="E19" s="81">
        <f t="shared" si="0"/>
        <v>0.30690000000000001</v>
      </c>
      <c r="F19" s="74">
        <f t="shared" ref="F19:F53" si="8">+((E19*N18)/360)*$C19</f>
        <v>2096462.7741750001</v>
      </c>
      <c r="G19" s="73">
        <f t="shared" si="1"/>
        <v>0</v>
      </c>
      <c r="H19" s="74"/>
      <c r="I19" s="128">
        <f>+'Flujos de fondo MIN'!B6</f>
        <v>44124</v>
      </c>
      <c r="J19" s="104">
        <f t="shared" ref="J19:J53" si="9">+E19</f>
        <v>0.30690000000000001</v>
      </c>
      <c r="K19" s="82">
        <f t="shared" ref="K19:K53" si="10">+IF(N18&gt;0,MIN(A19-L19,N18),0)</f>
        <v>8116857.2258249996</v>
      </c>
      <c r="L19" s="82">
        <f t="shared" si="2"/>
        <v>2096462.7741750001</v>
      </c>
      <c r="M19" s="82">
        <f t="shared" ref="M19:M53" si="11">+L19+K19</f>
        <v>10213320</v>
      </c>
      <c r="N19" s="105">
        <f t="shared" si="3"/>
        <v>73856271.774175003</v>
      </c>
      <c r="P19" s="75">
        <f t="shared" si="4"/>
        <v>63</v>
      </c>
      <c r="Q19" s="76">
        <f t="shared" si="5"/>
        <v>9703962.7404686566</v>
      </c>
      <c r="R19" s="76">
        <f t="shared" si="6"/>
        <v>611349652.6495254</v>
      </c>
      <c r="U19" s="77"/>
      <c r="V19" s="77"/>
      <c r="W19" s="128">
        <v>44124</v>
      </c>
      <c r="X19" s="104">
        <v>0.3</v>
      </c>
      <c r="Y19" s="82">
        <v>8165268</v>
      </c>
      <c r="Z19" s="82">
        <v>2048052</v>
      </c>
      <c r="AA19" s="82">
        <f t="shared" ref="AA19:AA30" si="12">+Y19+Z19</f>
        <v>10213320</v>
      </c>
      <c r="AB19" s="105">
        <f t="shared" si="7"/>
        <v>73756801</v>
      </c>
    </row>
    <row r="20" spans="1:28" x14ac:dyDescent="0.3">
      <c r="A20" s="78">
        <f>+'Flujos de fondo MIN'!E7*$N$17/$G$5</f>
        <v>10221485</v>
      </c>
      <c r="B20" s="71">
        <f>+Carga!I7</f>
        <v>44135</v>
      </c>
      <c r="C20" s="79">
        <v>30</v>
      </c>
      <c r="D20" s="80">
        <f>+IF(B20&lt;=$Q$5+C20,Carga!L7,$M$6)</f>
        <v>0.2969</v>
      </c>
      <c r="E20" s="81">
        <f t="shared" si="0"/>
        <v>0.30690000000000001</v>
      </c>
      <c r="F20" s="74">
        <f t="shared" si="8"/>
        <v>1888874.1506245257</v>
      </c>
      <c r="G20" s="73">
        <f>+G19+F20-L20</f>
        <v>0</v>
      </c>
      <c r="H20" s="74"/>
      <c r="I20" s="128">
        <f>+'Flujos de fondo MIN'!B7</f>
        <v>44155</v>
      </c>
      <c r="J20" s="104">
        <f t="shared" si="9"/>
        <v>0.30690000000000001</v>
      </c>
      <c r="K20" s="82">
        <f t="shared" si="10"/>
        <v>8332610.8493754743</v>
      </c>
      <c r="L20" s="82">
        <f t="shared" si="2"/>
        <v>1888874.1506245257</v>
      </c>
      <c r="M20" s="82">
        <f t="shared" si="11"/>
        <v>10221485</v>
      </c>
      <c r="N20" s="105">
        <f t="shared" si="3"/>
        <v>65523660.924799532</v>
      </c>
      <c r="P20" s="75">
        <f t="shared" si="4"/>
        <v>94</v>
      </c>
      <c r="Q20" s="76">
        <f t="shared" si="5"/>
        <v>9470296.998134315</v>
      </c>
      <c r="R20" s="76">
        <f t="shared" si="6"/>
        <v>890207917.82462561</v>
      </c>
      <c r="U20" s="77"/>
      <c r="V20" s="77"/>
      <c r="W20" s="128">
        <v>44155</v>
      </c>
      <c r="X20" s="104">
        <v>0.3</v>
      </c>
      <c r="Y20" s="82">
        <v>8377565</v>
      </c>
      <c r="Z20" s="82">
        <v>1843920</v>
      </c>
      <c r="AA20" s="82">
        <f t="shared" si="12"/>
        <v>10221485</v>
      </c>
      <c r="AB20" s="105">
        <f t="shared" si="7"/>
        <v>65379236</v>
      </c>
    </row>
    <row r="21" spans="1:28" x14ac:dyDescent="0.3">
      <c r="A21" s="78">
        <f>+'Flujos de fondo MIN'!E8*$N$17/$G$5</f>
        <v>9976092</v>
      </c>
      <c r="B21" s="71">
        <f>+Carga!I8</f>
        <v>44165</v>
      </c>
      <c r="C21" s="79">
        <v>30</v>
      </c>
      <c r="D21" s="80">
        <f>+IF(B21&lt;=$Q$5+C21,Carga!L8,$M$6)</f>
        <v>0.2969</v>
      </c>
      <c r="E21" s="81">
        <f t="shared" si="0"/>
        <v>0.30690000000000001</v>
      </c>
      <c r="F21" s="74">
        <f t="shared" si="8"/>
        <v>1675767.6281517481</v>
      </c>
      <c r="G21" s="73">
        <f t="shared" si="1"/>
        <v>0</v>
      </c>
      <c r="H21" s="74"/>
      <c r="I21" s="128">
        <f>+'Flujos de fondo MIN'!B8</f>
        <v>44186</v>
      </c>
      <c r="J21" s="104">
        <f t="shared" si="9"/>
        <v>0.30690000000000001</v>
      </c>
      <c r="K21" s="82">
        <f t="shared" si="10"/>
        <v>8300324.3718482517</v>
      </c>
      <c r="L21" s="82">
        <f t="shared" si="2"/>
        <v>1675767.6281517481</v>
      </c>
      <c r="M21" s="82">
        <f t="shared" si="11"/>
        <v>9976092</v>
      </c>
      <c r="N21" s="105">
        <f t="shared" si="3"/>
        <v>57223336.552951276</v>
      </c>
      <c r="P21" s="75">
        <f t="shared" si="4"/>
        <v>125</v>
      </c>
      <c r="Q21" s="76">
        <f t="shared" si="5"/>
        <v>9013168.1111698039</v>
      </c>
      <c r="R21" s="76">
        <f t="shared" si="6"/>
        <v>1126646013.8962255</v>
      </c>
      <c r="U21" s="77"/>
      <c r="V21" s="77"/>
      <c r="W21" s="128">
        <v>44186</v>
      </c>
      <c r="X21" s="104">
        <v>0.3</v>
      </c>
      <c r="Y21" s="82">
        <v>8341611</v>
      </c>
      <c r="Z21" s="82">
        <v>1634481</v>
      </c>
      <c r="AA21" s="82">
        <f t="shared" si="12"/>
        <v>9976092</v>
      </c>
      <c r="AB21" s="105">
        <f t="shared" si="7"/>
        <v>57037625</v>
      </c>
    </row>
    <row r="22" spans="1:28" x14ac:dyDescent="0.3">
      <c r="A22" s="78">
        <f>+'Flujos de fondo MIN'!E9*$N$17/$G$5</f>
        <v>10081787</v>
      </c>
      <c r="B22" s="71">
        <f>+Carga!I9</f>
        <v>44196</v>
      </c>
      <c r="C22" s="79">
        <v>30</v>
      </c>
      <c r="D22" s="80">
        <f>+IF(B22&lt;=$Q$5+C22,Carga!L9,$M$6)</f>
        <v>0.2969</v>
      </c>
      <c r="E22" s="81">
        <f t="shared" si="0"/>
        <v>0.30690000000000001</v>
      </c>
      <c r="F22" s="74">
        <f t="shared" si="8"/>
        <v>1463486.832341729</v>
      </c>
      <c r="G22" s="73">
        <f t="shared" si="1"/>
        <v>0</v>
      </c>
      <c r="H22" s="74"/>
      <c r="I22" s="128">
        <f>+'Flujos de fondo MIN'!B9</f>
        <v>44216</v>
      </c>
      <c r="J22" s="104">
        <f t="shared" si="9"/>
        <v>0.30690000000000001</v>
      </c>
      <c r="K22" s="82">
        <f t="shared" si="10"/>
        <v>8618300.1676582713</v>
      </c>
      <c r="L22" s="82">
        <f t="shared" si="2"/>
        <v>1463486.832341729</v>
      </c>
      <c r="M22" s="82">
        <f t="shared" si="11"/>
        <v>10081787</v>
      </c>
      <c r="N22" s="105">
        <f t="shared" si="3"/>
        <v>48605036.385293007</v>
      </c>
      <c r="P22" s="75">
        <f t="shared" si="4"/>
        <v>155</v>
      </c>
      <c r="Q22" s="76">
        <f t="shared" si="5"/>
        <v>8889444.6448410507</v>
      </c>
      <c r="R22" s="76">
        <f t="shared" si="6"/>
        <v>1377863919.9503629</v>
      </c>
      <c r="U22" s="77"/>
      <c r="V22" s="77"/>
      <c r="W22" s="128">
        <v>44216</v>
      </c>
      <c r="X22" s="104">
        <v>0.3</v>
      </c>
      <c r="Y22" s="82">
        <v>8655847</v>
      </c>
      <c r="Z22" s="82">
        <v>1425940</v>
      </c>
      <c r="AA22" s="82">
        <f t="shared" si="12"/>
        <v>10081787</v>
      </c>
      <c r="AB22" s="105">
        <f t="shared" si="7"/>
        <v>48381778</v>
      </c>
    </row>
    <row r="23" spans="1:28" x14ac:dyDescent="0.3">
      <c r="A23" s="78">
        <f>+'Flujos de fondo MIN'!E10*$N$17/$G$5</f>
        <v>10103823</v>
      </c>
      <c r="B23" s="71">
        <f>+Carga!I10</f>
        <v>44227</v>
      </c>
      <c r="C23" s="79">
        <v>30</v>
      </c>
      <c r="D23" s="80">
        <f>+IF(B23&lt;=$Q$5+C23,Carga!L10,$M$6)</f>
        <v>0.2969</v>
      </c>
      <c r="E23" s="81">
        <f t="shared" si="0"/>
        <v>0.30690000000000001</v>
      </c>
      <c r="F23" s="74">
        <f t="shared" si="8"/>
        <v>1243073.8055538686</v>
      </c>
      <c r="G23" s="73">
        <f t="shared" si="1"/>
        <v>0</v>
      </c>
      <c r="H23" s="74"/>
      <c r="I23" s="128">
        <f>+'Flujos de fondo MIN'!B10</f>
        <v>44249</v>
      </c>
      <c r="J23" s="104">
        <f t="shared" si="9"/>
        <v>0.30690000000000001</v>
      </c>
      <c r="K23" s="82">
        <f t="shared" si="10"/>
        <v>8860749.1944461316</v>
      </c>
      <c r="L23" s="82">
        <f t="shared" si="2"/>
        <v>1243073.8055538686</v>
      </c>
      <c r="M23" s="82">
        <f t="shared" si="11"/>
        <v>10103823</v>
      </c>
      <c r="N23" s="105">
        <f t="shared" si="3"/>
        <v>39744287.190846875</v>
      </c>
      <c r="P23" s="75">
        <f t="shared" si="4"/>
        <v>188</v>
      </c>
      <c r="Q23" s="76">
        <f t="shared" si="5"/>
        <v>8673311.3462987375</v>
      </c>
      <c r="R23" s="76">
        <f t="shared" si="6"/>
        <v>1630582533.1041627</v>
      </c>
      <c r="U23" s="77"/>
      <c r="V23" s="77"/>
      <c r="W23" s="128">
        <v>44249</v>
      </c>
      <c r="X23" s="104">
        <v>0.3</v>
      </c>
      <c r="Y23" s="82">
        <v>8894278</v>
      </c>
      <c r="Z23" s="82">
        <v>1209545</v>
      </c>
      <c r="AA23" s="82">
        <f>+Y23+Z23</f>
        <v>10103823</v>
      </c>
      <c r="AB23" s="105">
        <f t="shared" ref="AB23:AB30" si="13">+AB22-Y23</f>
        <v>39487500</v>
      </c>
    </row>
    <row r="24" spans="1:28" x14ac:dyDescent="0.3">
      <c r="A24" s="78">
        <f>+'Flujos de fondo MIN'!E11*$N$17/$G$5</f>
        <v>9997213</v>
      </c>
      <c r="B24" s="71">
        <f>+Carga!I11</f>
        <v>44255</v>
      </c>
      <c r="C24" s="79">
        <v>30</v>
      </c>
      <c r="D24" s="80">
        <f>+IF(B24&lt;=$Q$5+C24,Carga!L11,$M$6)</f>
        <v>0.2969</v>
      </c>
      <c r="E24" s="81">
        <f t="shared" si="0"/>
        <v>0.30690000000000001</v>
      </c>
      <c r="F24" s="74">
        <f>+((E24*N23)/360)*$C24</f>
        <v>1016460.1449059087</v>
      </c>
      <c r="G24" s="73">
        <f>+G23+F24-L24</f>
        <v>0</v>
      </c>
      <c r="H24" s="74"/>
      <c r="I24" s="128">
        <f>+'Flujos de fondo MIN'!B11</f>
        <v>44277</v>
      </c>
      <c r="J24" s="104">
        <f t="shared" si="9"/>
        <v>0.30690000000000001</v>
      </c>
      <c r="K24" s="82">
        <f>+IF(N23&gt;0,MIN(A24-L24,N23),0)</f>
        <v>8980752.855094092</v>
      </c>
      <c r="L24" s="82">
        <f>+MIN($A24,F24+G23)</f>
        <v>1016460.1449059087</v>
      </c>
      <c r="M24" s="82">
        <f t="shared" si="11"/>
        <v>9997213</v>
      </c>
      <c r="N24" s="105">
        <f>+N23-K24</f>
        <v>30763534.335752785</v>
      </c>
      <c r="P24" s="75">
        <f t="shared" si="4"/>
        <v>216</v>
      </c>
      <c r="Q24" s="76">
        <f t="shared" si="5"/>
        <v>8388871.9649495017</v>
      </c>
      <c r="R24" s="76">
        <f t="shared" si="6"/>
        <v>1811996344.4290924</v>
      </c>
      <c r="U24" s="77"/>
      <c r="V24" s="77"/>
      <c r="W24" s="128">
        <v>44277</v>
      </c>
      <c r="X24" s="104">
        <v>0.3</v>
      </c>
      <c r="Y24" s="82">
        <v>9010026</v>
      </c>
      <c r="Z24" s="82">
        <v>987187</v>
      </c>
      <c r="AA24" s="82">
        <f t="shared" si="12"/>
        <v>9997213</v>
      </c>
      <c r="AB24" s="105">
        <f t="shared" si="13"/>
        <v>30477474</v>
      </c>
    </row>
    <row r="25" spans="1:28" x14ac:dyDescent="0.3">
      <c r="A25" s="78">
        <f>+'Flujos de fondo MIN'!E12*$N$17/$G$5</f>
        <v>8747124</v>
      </c>
      <c r="B25" s="71">
        <f>+Carga!I12</f>
        <v>44286</v>
      </c>
      <c r="C25" s="79">
        <v>30</v>
      </c>
      <c r="D25" s="80">
        <f>+IF(B25&lt;=$Q$5+C25,Carga!L12,$M$6)</f>
        <v>0.2969</v>
      </c>
      <c r="E25" s="81">
        <f t="shared" si="0"/>
        <v>0.30690000000000001</v>
      </c>
      <c r="F25" s="74">
        <f t="shared" si="8"/>
        <v>786777.39063687739</v>
      </c>
      <c r="G25" s="73">
        <f t="shared" si="1"/>
        <v>0</v>
      </c>
      <c r="H25" s="74"/>
      <c r="I25" s="128">
        <f>+'Flujos de fondo MIN'!B12</f>
        <v>44306</v>
      </c>
      <c r="J25" s="104">
        <f t="shared" si="9"/>
        <v>0.30690000000000001</v>
      </c>
      <c r="K25" s="82">
        <f t="shared" si="10"/>
        <v>7960346.6093631228</v>
      </c>
      <c r="L25" s="82">
        <f t="shared" si="2"/>
        <v>786777.39063687739</v>
      </c>
      <c r="M25" s="82">
        <f t="shared" si="11"/>
        <v>8747124</v>
      </c>
      <c r="N25" s="105">
        <f t="shared" si="3"/>
        <v>22803187.726389661</v>
      </c>
      <c r="P25" s="75">
        <f t="shared" si="4"/>
        <v>245</v>
      </c>
      <c r="Q25" s="76">
        <f t="shared" si="5"/>
        <v>7169067.2436219426</v>
      </c>
      <c r="R25" s="76">
        <f t="shared" si="6"/>
        <v>1756421474.687376</v>
      </c>
      <c r="U25" s="77"/>
      <c r="V25" s="77"/>
      <c r="W25" s="128">
        <v>44306</v>
      </c>
      <c r="X25" s="104">
        <v>0.3</v>
      </c>
      <c r="Y25" s="82">
        <v>7985187</v>
      </c>
      <c r="Z25" s="82">
        <v>761937</v>
      </c>
      <c r="AA25" s="82">
        <f t="shared" si="12"/>
        <v>8747124</v>
      </c>
      <c r="AB25" s="105">
        <f t="shared" si="13"/>
        <v>22492287</v>
      </c>
    </row>
    <row r="26" spans="1:28" x14ac:dyDescent="0.3">
      <c r="A26" s="78">
        <f>+'Flujos de fondo MIN'!E13*$N$17/$G$5</f>
        <v>6705072</v>
      </c>
      <c r="B26" s="71">
        <f>+Carga!I13</f>
        <v>44316</v>
      </c>
      <c r="C26" s="79">
        <v>30</v>
      </c>
      <c r="D26" s="80">
        <f>+IF(B26&lt;=$Q$5+C26,Carga!L13,$M$6)</f>
        <v>0.2969</v>
      </c>
      <c r="E26" s="81">
        <f t="shared" si="0"/>
        <v>0.30690000000000001</v>
      </c>
      <c r="F26" s="74">
        <f t="shared" si="8"/>
        <v>583191.52610241564</v>
      </c>
      <c r="G26" s="73">
        <f t="shared" si="1"/>
        <v>0</v>
      </c>
      <c r="H26" s="74"/>
      <c r="I26" s="128">
        <f>+'Flujos de fondo MIN'!B13</f>
        <v>44336</v>
      </c>
      <c r="J26" s="104">
        <f t="shared" si="9"/>
        <v>0.30690000000000001</v>
      </c>
      <c r="K26" s="82">
        <f t="shared" si="10"/>
        <v>6121880.4738975847</v>
      </c>
      <c r="L26" s="82">
        <f t="shared" si="2"/>
        <v>583191.52610241564</v>
      </c>
      <c r="M26" s="82">
        <f t="shared" si="11"/>
        <v>6705072</v>
      </c>
      <c r="N26" s="105">
        <f t="shared" si="3"/>
        <v>16681307.252492078</v>
      </c>
      <c r="P26" s="75">
        <f t="shared" si="4"/>
        <v>275</v>
      </c>
      <c r="Q26" s="76">
        <f t="shared" si="5"/>
        <v>5363161.8424972519</v>
      </c>
      <c r="R26" s="76">
        <f t="shared" si="6"/>
        <v>1474869506.6867442</v>
      </c>
      <c r="U26" s="77"/>
      <c r="V26" s="77"/>
      <c r="W26" s="128">
        <v>44336</v>
      </c>
      <c r="X26" s="104">
        <v>0.3</v>
      </c>
      <c r="Y26" s="82">
        <v>6142765</v>
      </c>
      <c r="Z26" s="82">
        <v>562307</v>
      </c>
      <c r="AA26" s="82">
        <f t="shared" si="12"/>
        <v>6705072</v>
      </c>
      <c r="AB26" s="105">
        <f t="shared" si="13"/>
        <v>16349522</v>
      </c>
    </row>
    <row r="27" spans="1:28" x14ac:dyDescent="0.3">
      <c r="A27" s="78">
        <f>+'Flujos de fondo MIN'!E14*$N$17/$G$5</f>
        <v>5374556</v>
      </c>
      <c r="B27" s="71">
        <f>+Carga!I14</f>
        <v>44347</v>
      </c>
      <c r="C27" s="79">
        <v>30</v>
      </c>
      <c r="D27" s="80">
        <f>+IF(B27&lt;=$Q$5+C27,Carga!L14,$M$6)</f>
        <v>0.2969</v>
      </c>
      <c r="E27" s="81">
        <f t="shared" si="0"/>
        <v>0.30690000000000001</v>
      </c>
      <c r="F27" s="74">
        <f t="shared" si="8"/>
        <v>426624.43298248487</v>
      </c>
      <c r="G27" s="73">
        <f t="shared" si="1"/>
        <v>0</v>
      </c>
      <c r="H27" s="74"/>
      <c r="I27" s="128">
        <f>+'Flujos de fondo MIN'!B14</f>
        <v>44368</v>
      </c>
      <c r="J27" s="104">
        <f t="shared" si="9"/>
        <v>0.30690000000000001</v>
      </c>
      <c r="K27" s="82">
        <f>+IF(N26&gt;0,MIN(A27-L27,N26),0)</f>
        <v>4947931.5670175152</v>
      </c>
      <c r="L27" s="82">
        <f>+MIN($A27,F27+G26)</f>
        <v>426624.43298248487</v>
      </c>
      <c r="M27" s="82">
        <f t="shared" si="11"/>
        <v>5374556</v>
      </c>
      <c r="N27" s="105">
        <f t="shared" si="3"/>
        <v>11733375.685474563</v>
      </c>
      <c r="P27" s="75">
        <f t="shared" si="4"/>
        <v>307</v>
      </c>
      <c r="Q27" s="76">
        <f t="shared" si="5"/>
        <v>4188657.0927092298</v>
      </c>
      <c r="R27" s="76">
        <f t="shared" si="6"/>
        <v>1285917727.4617336</v>
      </c>
      <c r="U27" s="77"/>
      <c r="V27" s="77"/>
      <c r="W27" s="128">
        <v>44368</v>
      </c>
      <c r="X27" s="104">
        <v>0.3</v>
      </c>
      <c r="Y27" s="82">
        <v>4965818</v>
      </c>
      <c r="Z27" s="82">
        <v>408738</v>
      </c>
      <c r="AA27" s="82">
        <f t="shared" si="12"/>
        <v>5374556</v>
      </c>
      <c r="AB27" s="105">
        <f t="shared" si="13"/>
        <v>11383704</v>
      </c>
    </row>
    <row r="28" spans="1:28" x14ac:dyDescent="0.3">
      <c r="A28" s="78">
        <f>+'Flujos de fondo MIN'!E15*$N$17/$G$5</f>
        <v>5197767</v>
      </c>
      <c r="B28" s="71">
        <f>+Carga!I15</f>
        <v>44377</v>
      </c>
      <c r="C28" s="79">
        <v>30</v>
      </c>
      <c r="D28" s="80">
        <f>+IF(B28&lt;=$Q$5+C28,Carga!L15,$M$6)</f>
        <v>0.2969</v>
      </c>
      <c r="E28" s="81">
        <f t="shared" si="0"/>
        <v>0.30690000000000001</v>
      </c>
      <c r="F28" s="74">
        <f t="shared" si="8"/>
        <v>300081.08315601194</v>
      </c>
      <c r="G28" s="73">
        <f t="shared" si="1"/>
        <v>0</v>
      </c>
      <c r="H28" s="74"/>
      <c r="I28" s="128">
        <f>+'Flujos de fondo MIN'!B15</f>
        <v>44397</v>
      </c>
      <c r="J28" s="104">
        <f t="shared" si="9"/>
        <v>0.30690000000000001</v>
      </c>
      <c r="K28" s="82">
        <f t="shared" si="10"/>
        <v>4897685.916843988</v>
      </c>
      <c r="L28" s="82">
        <f t="shared" si="2"/>
        <v>300081.08315601194</v>
      </c>
      <c r="M28" s="82">
        <f t="shared" si="11"/>
        <v>5197767</v>
      </c>
      <c r="N28" s="105">
        <f t="shared" si="3"/>
        <v>6835689.7686305754</v>
      </c>
      <c r="P28" s="75">
        <f t="shared" si="4"/>
        <v>336</v>
      </c>
      <c r="Q28" s="76">
        <f t="shared" si="5"/>
        <v>3956596.5972551401</v>
      </c>
      <c r="R28" s="76">
        <f t="shared" si="6"/>
        <v>1329416456.677727</v>
      </c>
      <c r="U28" s="77"/>
      <c r="V28" s="77"/>
      <c r="W28" s="128">
        <v>44397</v>
      </c>
      <c r="X28" s="104">
        <v>0.3</v>
      </c>
      <c r="Y28" s="82">
        <v>4913174</v>
      </c>
      <c r="Z28" s="82">
        <v>284593</v>
      </c>
      <c r="AA28" s="82">
        <f t="shared" si="12"/>
        <v>5197767</v>
      </c>
      <c r="AB28" s="105">
        <f t="shared" si="13"/>
        <v>6470530</v>
      </c>
    </row>
    <row r="29" spans="1:28" x14ac:dyDescent="0.3">
      <c r="A29" s="78">
        <f>+'Flujos de fondo MIN'!E16*$N$17/$G$5</f>
        <v>5188209</v>
      </c>
      <c r="B29" s="71">
        <f>+Carga!I16</f>
        <v>44408</v>
      </c>
      <c r="C29" s="79">
        <v>30</v>
      </c>
      <c r="D29" s="80">
        <f>+IF(B29&lt;=$Q$5+C29,Carga!L16,$M$6)</f>
        <v>0.2969</v>
      </c>
      <c r="E29" s="81">
        <f t="shared" si="0"/>
        <v>0.30690000000000001</v>
      </c>
      <c r="F29" s="74">
        <f>+((E29*N28)/360)*$C29</f>
        <v>174822.76583272696</v>
      </c>
      <c r="G29" s="73">
        <f t="shared" si="1"/>
        <v>0</v>
      </c>
      <c r="H29" s="74"/>
      <c r="I29" s="128">
        <f>+'Flujos de fondo MIN'!B16</f>
        <v>44428</v>
      </c>
      <c r="J29" s="104">
        <f t="shared" si="9"/>
        <v>0.30690000000000001</v>
      </c>
      <c r="K29" s="82">
        <f t="shared" si="10"/>
        <v>5013386.2341672732</v>
      </c>
      <c r="L29" s="82">
        <f t="shared" si="2"/>
        <v>174822.76583272696</v>
      </c>
      <c r="M29" s="82">
        <f>+L29+K29</f>
        <v>5188209</v>
      </c>
      <c r="N29" s="105">
        <f t="shared" si="3"/>
        <v>1822303.5344633022</v>
      </c>
      <c r="P29" s="75">
        <f t="shared" si="4"/>
        <v>367</v>
      </c>
      <c r="Q29" s="76">
        <f t="shared" si="5"/>
        <v>3851144.8243766548</v>
      </c>
      <c r="R29" s="76">
        <f t="shared" si="6"/>
        <v>1413370150.5462322</v>
      </c>
      <c r="U29" s="77"/>
      <c r="V29" s="77"/>
      <c r="W29" s="128">
        <v>44428</v>
      </c>
      <c r="X29" s="104">
        <v>0.3</v>
      </c>
      <c r="Y29" s="82">
        <v>5026446</v>
      </c>
      <c r="Z29" s="82">
        <v>161763</v>
      </c>
      <c r="AA29" s="82">
        <f t="shared" si="12"/>
        <v>5188209</v>
      </c>
      <c r="AB29" s="105">
        <f t="shared" si="13"/>
        <v>1444084</v>
      </c>
    </row>
    <row r="30" spans="1:28" x14ac:dyDescent="0.3">
      <c r="A30" s="78">
        <f>+'Flujos de fondo MIN'!E17*$N$17/$G$5</f>
        <v>5025561</v>
      </c>
      <c r="B30" s="71">
        <f>+Carga!I17</f>
        <v>44439</v>
      </c>
      <c r="C30" s="79">
        <v>30</v>
      </c>
      <c r="D30" s="80">
        <f>+IF(B30&lt;=$Q$5+C30,Carga!L17,$M$6)</f>
        <v>0.2969</v>
      </c>
      <c r="E30" s="81">
        <f t="shared" si="0"/>
        <v>0.30690000000000001</v>
      </c>
      <c r="F30" s="74">
        <f t="shared" si="8"/>
        <v>46605.41289389896</v>
      </c>
      <c r="G30" s="73">
        <f t="shared" si="1"/>
        <v>0</v>
      </c>
      <c r="H30" s="74"/>
      <c r="I30" s="128">
        <f>+'Flujos de fondo MIN'!B17</f>
        <v>44459</v>
      </c>
      <c r="J30" s="104">
        <f t="shared" si="9"/>
        <v>0.30690000000000001</v>
      </c>
      <c r="K30" s="82">
        <f t="shared" si="10"/>
        <v>1822303.5344633022</v>
      </c>
      <c r="L30" s="82">
        <f t="shared" si="2"/>
        <v>46605.41289389896</v>
      </c>
      <c r="M30" s="82">
        <f t="shared" si="11"/>
        <v>1868908.9473572013</v>
      </c>
      <c r="N30" s="105">
        <f t="shared" si="3"/>
        <v>0</v>
      </c>
      <c r="P30" s="75">
        <f t="shared" si="4"/>
        <v>398</v>
      </c>
      <c r="Q30" s="76">
        <f t="shared" si="5"/>
        <v>1352782.4291254301</v>
      </c>
      <c r="R30" s="76">
        <f t="shared" si="6"/>
        <v>538407406.79192114</v>
      </c>
      <c r="U30" s="77"/>
      <c r="V30" s="77"/>
      <c r="W30" s="128">
        <v>44459</v>
      </c>
      <c r="X30" s="104">
        <v>0.3</v>
      </c>
      <c r="Y30" s="82">
        <v>1444084</v>
      </c>
      <c r="Z30" s="82">
        <v>36102</v>
      </c>
      <c r="AA30" s="82">
        <f t="shared" si="12"/>
        <v>1480186</v>
      </c>
      <c r="AB30" s="105">
        <f t="shared" si="13"/>
        <v>0</v>
      </c>
    </row>
    <row r="31" spans="1:28" ht="17.25" thickBot="1" x14ac:dyDescent="0.35">
      <c r="A31" s="78">
        <f>+'Flujos de fondo MIN'!E18*$N$17/$G$5</f>
        <v>4359559</v>
      </c>
      <c r="B31" s="71">
        <f>+Carga!I18</f>
        <v>44469</v>
      </c>
      <c r="C31" s="79">
        <v>30</v>
      </c>
      <c r="D31" s="80">
        <f>+IF(B31&lt;=$Q$5+C31,Carga!L18,$M$6)</f>
        <v>0.2969</v>
      </c>
      <c r="E31" s="81">
        <f t="shared" si="0"/>
        <v>0.30690000000000001</v>
      </c>
      <c r="F31" s="74">
        <f>+((E31*N30)/360)*$C31</f>
        <v>0</v>
      </c>
      <c r="G31" s="73">
        <f>+G30+F31-L31</f>
        <v>0</v>
      </c>
      <c r="H31" s="74"/>
      <c r="I31" s="128">
        <f>+'Flujos de fondo MIN'!B18</f>
        <v>44489</v>
      </c>
      <c r="J31" s="104">
        <f t="shared" ref="J31" si="14">+E31</f>
        <v>0.30690000000000001</v>
      </c>
      <c r="K31" s="82">
        <f>+IF(N30&gt;0,MIN(A31-L31,N30),0)</f>
        <v>0</v>
      </c>
      <c r="L31" s="82">
        <f>+MIN($A31,F31+G30)</f>
        <v>0</v>
      </c>
      <c r="M31" s="82">
        <f t="shared" ref="M31" si="15">+L31+K31</f>
        <v>0</v>
      </c>
      <c r="N31" s="105">
        <f>+N30-K31</f>
        <v>0</v>
      </c>
      <c r="P31" s="75">
        <f t="shared" si="4"/>
        <v>428</v>
      </c>
      <c r="Q31" s="76">
        <f t="shared" si="5"/>
        <v>0</v>
      </c>
      <c r="R31" s="76">
        <f t="shared" si="6"/>
        <v>0</v>
      </c>
      <c r="U31" s="77"/>
      <c r="W31" s="96" t="s">
        <v>30</v>
      </c>
      <c r="X31" s="97"/>
      <c r="Y31" s="98">
        <f>SUM(Y18:Y30)</f>
        <v>88800000</v>
      </c>
      <c r="Z31" s="98">
        <f>SUM(Z18:Z30)</f>
        <v>13584565</v>
      </c>
      <c r="AA31" s="98">
        <f>SUM(AA18:AA30)</f>
        <v>102384565</v>
      </c>
      <c r="AB31" s="98"/>
    </row>
    <row r="32" spans="1:28" hidden="1" x14ac:dyDescent="0.3">
      <c r="A32" s="78">
        <f>+'Flujos de fondo MIN'!E19*$N$17/$G$5</f>
        <v>3642761</v>
      </c>
      <c r="B32" s="71">
        <f>+Carga!I19</f>
        <v>44500</v>
      </c>
      <c r="C32" s="79">
        <v>30</v>
      </c>
      <c r="D32" s="80">
        <f>+IF(B32&lt;=$Q$5+C32,Carga!L19,$M$6)</f>
        <v>0.2969</v>
      </c>
      <c r="E32" s="81">
        <f t="shared" si="0"/>
        <v>0.30690000000000001</v>
      </c>
      <c r="F32" s="74">
        <f t="shared" si="8"/>
        <v>0</v>
      </c>
      <c r="G32" s="73">
        <f t="shared" si="1"/>
        <v>0</v>
      </c>
      <c r="H32" s="74"/>
      <c r="I32" s="103">
        <f>+'Flujos de fondo MIN'!B19</f>
        <v>44520</v>
      </c>
      <c r="J32" s="104">
        <f t="shared" si="9"/>
        <v>0.30690000000000001</v>
      </c>
      <c r="K32" s="82">
        <f t="shared" si="10"/>
        <v>0</v>
      </c>
      <c r="L32" s="82">
        <f t="shared" si="2"/>
        <v>0</v>
      </c>
      <c r="M32" s="82">
        <f t="shared" si="11"/>
        <v>0</v>
      </c>
      <c r="N32" s="105">
        <f t="shared" si="3"/>
        <v>0</v>
      </c>
      <c r="P32" s="75">
        <f t="shared" si="4"/>
        <v>459</v>
      </c>
      <c r="Q32" s="76">
        <f t="shared" si="5"/>
        <v>0</v>
      </c>
      <c r="R32" s="76">
        <f t="shared" si="6"/>
        <v>0</v>
      </c>
      <c r="U32" s="77"/>
    </row>
    <row r="33" spans="1:25" hidden="1" x14ac:dyDescent="0.3">
      <c r="A33" s="78">
        <f>+'Flujos de fondo MIN'!E20*$N$17/$G$5</f>
        <v>4349817</v>
      </c>
      <c r="B33" s="71">
        <f>+Carga!I20</f>
        <v>44530</v>
      </c>
      <c r="C33" s="79">
        <v>30</v>
      </c>
      <c r="D33" s="80">
        <f>+IF(B33&lt;=$Q$5+C33,Carga!L20,$M$6)</f>
        <v>0.2969</v>
      </c>
      <c r="E33" s="81">
        <f t="shared" si="0"/>
        <v>0.30690000000000001</v>
      </c>
      <c r="F33" s="74">
        <f t="shared" si="8"/>
        <v>0</v>
      </c>
      <c r="G33" s="73">
        <f t="shared" si="1"/>
        <v>0</v>
      </c>
      <c r="H33" s="74"/>
      <c r="I33" s="103">
        <f>+'Flujos de fondo MIN'!B20</f>
        <v>44550</v>
      </c>
      <c r="J33" s="104">
        <f t="shared" si="9"/>
        <v>0.30690000000000001</v>
      </c>
      <c r="K33" s="82">
        <f t="shared" si="10"/>
        <v>0</v>
      </c>
      <c r="L33" s="82">
        <f t="shared" si="2"/>
        <v>0</v>
      </c>
      <c r="M33" s="82">
        <f t="shared" si="11"/>
        <v>0</v>
      </c>
      <c r="N33" s="105">
        <f t="shared" si="3"/>
        <v>0</v>
      </c>
      <c r="P33" s="75">
        <f t="shared" si="4"/>
        <v>489</v>
      </c>
      <c r="Q33" s="76">
        <f t="shared" si="5"/>
        <v>0</v>
      </c>
      <c r="R33" s="76">
        <f t="shared" si="6"/>
        <v>0</v>
      </c>
      <c r="U33" s="77"/>
    </row>
    <row r="34" spans="1:25" hidden="1" x14ac:dyDescent="0.3">
      <c r="A34" s="78">
        <f>+'Flujos de fondo MIN'!E21*$N$17/$G$5</f>
        <v>4278356</v>
      </c>
      <c r="B34" s="71">
        <f>+Carga!I21</f>
        <v>44561</v>
      </c>
      <c r="C34" s="79">
        <v>30</v>
      </c>
      <c r="D34" s="80">
        <f>+IF(B34&lt;=$Q$5+C34,Carga!L21,$M$6)</f>
        <v>0.2969</v>
      </c>
      <c r="E34" s="81">
        <f t="shared" si="0"/>
        <v>0.30690000000000001</v>
      </c>
      <c r="F34" s="74">
        <f t="shared" si="8"/>
        <v>0</v>
      </c>
      <c r="G34" s="73">
        <f t="shared" si="1"/>
        <v>0</v>
      </c>
      <c r="H34" s="74"/>
      <c r="I34" s="103">
        <f>+'Flujos de fondo MIN'!B21</f>
        <v>44581</v>
      </c>
      <c r="J34" s="104">
        <f t="shared" si="9"/>
        <v>0.30690000000000001</v>
      </c>
      <c r="K34" s="82">
        <f t="shared" si="10"/>
        <v>0</v>
      </c>
      <c r="L34" s="82">
        <f t="shared" si="2"/>
        <v>0</v>
      </c>
      <c r="M34" s="82">
        <f t="shared" si="11"/>
        <v>0</v>
      </c>
      <c r="N34" s="105">
        <f t="shared" si="3"/>
        <v>0</v>
      </c>
      <c r="P34" s="75">
        <f t="shared" si="4"/>
        <v>520</v>
      </c>
      <c r="Q34" s="76">
        <f t="shared" si="5"/>
        <v>0</v>
      </c>
      <c r="R34" s="76">
        <f t="shared" si="6"/>
        <v>0</v>
      </c>
      <c r="U34" s="77"/>
      <c r="W34" s="77"/>
      <c r="X34" s="77"/>
      <c r="Y34" s="77"/>
    </row>
    <row r="35" spans="1:25" hidden="1" x14ac:dyDescent="0.3">
      <c r="A35" s="78">
        <f>+'Flujos de fondo MIN'!E22*$N$17/$G$5</f>
        <v>4139987</v>
      </c>
      <c r="B35" s="71">
        <f>+Carga!I22</f>
        <v>44592</v>
      </c>
      <c r="C35" s="79">
        <v>30</v>
      </c>
      <c r="D35" s="80">
        <f>+IF(B35&lt;=$Q$5+C35,Carga!L22,$M$6)</f>
        <v>0.2969</v>
      </c>
      <c r="E35" s="81">
        <f t="shared" si="0"/>
        <v>0.30690000000000001</v>
      </c>
      <c r="F35" s="74">
        <f t="shared" si="8"/>
        <v>0</v>
      </c>
      <c r="G35" s="73">
        <f t="shared" si="1"/>
        <v>0</v>
      </c>
      <c r="H35" s="74"/>
      <c r="I35" s="103">
        <f>+'Flujos de fondo MIN'!B22</f>
        <v>44612</v>
      </c>
      <c r="J35" s="104">
        <f t="shared" si="9"/>
        <v>0.30690000000000001</v>
      </c>
      <c r="K35" s="82">
        <f t="shared" si="10"/>
        <v>0</v>
      </c>
      <c r="L35" s="82">
        <f t="shared" si="2"/>
        <v>0</v>
      </c>
      <c r="M35" s="82">
        <f t="shared" si="11"/>
        <v>0</v>
      </c>
      <c r="N35" s="105">
        <f t="shared" si="3"/>
        <v>0</v>
      </c>
      <c r="P35" s="75">
        <f t="shared" si="4"/>
        <v>551</v>
      </c>
      <c r="Q35" s="76">
        <f t="shared" si="5"/>
        <v>0</v>
      </c>
      <c r="R35" s="76">
        <f t="shared" si="6"/>
        <v>0</v>
      </c>
      <c r="U35" s="77"/>
      <c r="W35" s="77"/>
      <c r="X35" s="77"/>
      <c r="Y35" s="77"/>
    </row>
    <row r="36" spans="1:25" hidden="1" x14ac:dyDescent="0.3">
      <c r="A36" s="78">
        <f>+'Flujos de fondo MIN'!E23*$N$17/$G$5</f>
        <v>3820517</v>
      </c>
      <c r="B36" s="71">
        <f>+Carga!I23</f>
        <v>44620</v>
      </c>
      <c r="C36" s="79">
        <v>30</v>
      </c>
      <c r="D36" s="80">
        <f>+IF(B36&lt;=$Q$5+C36,Carga!L23,$M$6)</f>
        <v>0.2969</v>
      </c>
      <c r="E36" s="81">
        <f t="shared" si="0"/>
        <v>0.30690000000000001</v>
      </c>
      <c r="F36" s="74">
        <f t="shared" si="8"/>
        <v>0</v>
      </c>
      <c r="G36" s="73">
        <f t="shared" si="1"/>
        <v>0</v>
      </c>
      <c r="H36" s="74"/>
      <c r="I36" s="103">
        <f>+'Flujos de fondo MIN'!B23</f>
        <v>44640</v>
      </c>
      <c r="J36" s="104">
        <f t="shared" si="9"/>
        <v>0.30690000000000001</v>
      </c>
      <c r="K36" s="82">
        <f t="shared" si="10"/>
        <v>0</v>
      </c>
      <c r="L36" s="82">
        <f t="shared" si="2"/>
        <v>0</v>
      </c>
      <c r="M36" s="82">
        <f t="shared" si="11"/>
        <v>0</v>
      </c>
      <c r="N36" s="105">
        <f t="shared" si="3"/>
        <v>0</v>
      </c>
      <c r="P36" s="75">
        <f t="shared" si="4"/>
        <v>579</v>
      </c>
      <c r="Q36" s="76">
        <f t="shared" si="5"/>
        <v>0</v>
      </c>
      <c r="R36" s="76">
        <f t="shared" si="6"/>
        <v>0</v>
      </c>
      <c r="U36" s="77"/>
      <c r="W36" s="77"/>
      <c r="X36" s="77"/>
      <c r="Y36" s="77"/>
    </row>
    <row r="37" spans="1:25" hidden="1" x14ac:dyDescent="0.3">
      <c r="A37" s="78">
        <f>+'Flujos de fondo MIN'!E24*$N$17/$G$5</f>
        <v>3240134</v>
      </c>
      <c r="B37" s="71">
        <f>+Carga!I24</f>
        <v>44651</v>
      </c>
      <c r="C37" s="79">
        <v>30</v>
      </c>
      <c r="D37" s="80">
        <f>+IF(B37&lt;=$Q$5+C37,Carga!L24,$M$6)</f>
        <v>0.2969</v>
      </c>
      <c r="E37" s="81">
        <f t="shared" si="0"/>
        <v>0.30690000000000001</v>
      </c>
      <c r="F37" s="74">
        <f t="shared" si="8"/>
        <v>0</v>
      </c>
      <c r="G37" s="73">
        <f t="shared" si="1"/>
        <v>0</v>
      </c>
      <c r="H37" s="74"/>
      <c r="I37" s="103">
        <f>+'Flujos de fondo MIN'!B24</f>
        <v>44671</v>
      </c>
      <c r="J37" s="104">
        <f t="shared" si="9"/>
        <v>0.30690000000000001</v>
      </c>
      <c r="K37" s="82">
        <f t="shared" si="10"/>
        <v>0</v>
      </c>
      <c r="L37" s="82">
        <f t="shared" si="2"/>
        <v>0</v>
      </c>
      <c r="M37" s="82">
        <f t="shared" si="11"/>
        <v>0</v>
      </c>
      <c r="N37" s="105">
        <f t="shared" si="3"/>
        <v>0</v>
      </c>
      <c r="P37" s="75">
        <f t="shared" si="4"/>
        <v>610</v>
      </c>
      <c r="Q37" s="76">
        <f t="shared" si="5"/>
        <v>0</v>
      </c>
      <c r="R37" s="76">
        <f t="shared" si="6"/>
        <v>0</v>
      </c>
      <c r="U37" s="77"/>
      <c r="W37" s="77"/>
      <c r="X37" s="77"/>
      <c r="Y37" s="77"/>
    </row>
    <row r="38" spans="1:25" hidden="1" x14ac:dyDescent="0.3">
      <c r="A38" s="78">
        <f>+'Flujos de fondo MIN'!E25*$N$17/$G$5</f>
        <v>2508317</v>
      </c>
      <c r="B38" s="71">
        <f>+Carga!I25</f>
        <v>44681</v>
      </c>
      <c r="C38" s="79">
        <v>30</v>
      </c>
      <c r="D38" s="80">
        <f>+IF(B38&lt;=$Q$5+C38,Carga!L25,$M$6)</f>
        <v>0.2969</v>
      </c>
      <c r="E38" s="81">
        <f t="shared" si="0"/>
        <v>0.30690000000000001</v>
      </c>
      <c r="F38" s="74">
        <f t="shared" si="8"/>
        <v>0</v>
      </c>
      <c r="G38" s="73">
        <f t="shared" si="1"/>
        <v>0</v>
      </c>
      <c r="H38" s="74"/>
      <c r="I38" s="103">
        <f>+'Flujos de fondo MIN'!B25</f>
        <v>44701</v>
      </c>
      <c r="J38" s="104">
        <f t="shared" si="9"/>
        <v>0.30690000000000001</v>
      </c>
      <c r="K38" s="82">
        <f t="shared" si="10"/>
        <v>0</v>
      </c>
      <c r="L38" s="82">
        <f t="shared" si="2"/>
        <v>0</v>
      </c>
      <c r="M38" s="82">
        <f t="shared" si="11"/>
        <v>0</v>
      </c>
      <c r="N38" s="105">
        <f t="shared" si="3"/>
        <v>0</v>
      </c>
      <c r="P38" s="75">
        <f t="shared" si="4"/>
        <v>640</v>
      </c>
      <c r="Q38" s="76">
        <f t="shared" si="5"/>
        <v>0</v>
      </c>
      <c r="R38" s="76">
        <f t="shared" si="6"/>
        <v>0</v>
      </c>
      <c r="U38" s="77"/>
      <c r="W38" s="77"/>
      <c r="X38" s="77"/>
      <c r="Y38" s="77"/>
    </row>
    <row r="39" spans="1:25" hidden="1" x14ac:dyDescent="0.3">
      <c r="A39" s="78">
        <f>+'Flujos de fondo MIN'!E26*$N$17/$G$5</f>
        <v>2263850</v>
      </c>
      <c r="B39" s="71">
        <f>+Carga!I26</f>
        <v>44712</v>
      </c>
      <c r="C39" s="79">
        <v>30</v>
      </c>
      <c r="D39" s="80">
        <f>+IF(B39&lt;=$Q$5+C39,Carga!L26,$M$6)</f>
        <v>0.2969</v>
      </c>
      <c r="E39" s="81">
        <f t="shared" si="0"/>
        <v>0.30690000000000001</v>
      </c>
      <c r="F39" s="74">
        <f t="shared" si="8"/>
        <v>0</v>
      </c>
      <c r="G39" s="73">
        <f t="shared" si="1"/>
        <v>0</v>
      </c>
      <c r="H39" s="74"/>
      <c r="I39" s="103">
        <f>+'Flujos de fondo MIN'!B26</f>
        <v>44732</v>
      </c>
      <c r="J39" s="104">
        <f t="shared" si="9"/>
        <v>0.30690000000000001</v>
      </c>
      <c r="K39" s="82">
        <f t="shared" si="10"/>
        <v>0</v>
      </c>
      <c r="L39" s="82">
        <f t="shared" si="2"/>
        <v>0</v>
      </c>
      <c r="M39" s="82">
        <f t="shared" si="11"/>
        <v>0</v>
      </c>
      <c r="N39" s="105">
        <f t="shared" si="3"/>
        <v>0</v>
      </c>
      <c r="P39" s="75">
        <f t="shared" si="4"/>
        <v>671</v>
      </c>
      <c r="Q39" s="76">
        <f t="shared" si="5"/>
        <v>0</v>
      </c>
      <c r="R39" s="76">
        <f t="shared" si="6"/>
        <v>0</v>
      </c>
      <c r="U39" s="77"/>
      <c r="W39" s="77"/>
      <c r="X39" s="77"/>
      <c r="Y39" s="77"/>
    </row>
    <row r="40" spans="1:25" hidden="1" x14ac:dyDescent="0.3">
      <c r="A40" s="78">
        <f>+'Flujos de fondo MIN'!E27*$N$17/$G$5</f>
        <v>2145422</v>
      </c>
      <c r="B40" s="71">
        <f>+Carga!I27</f>
        <v>44742</v>
      </c>
      <c r="C40" s="79">
        <v>30</v>
      </c>
      <c r="D40" s="80">
        <f>+IF(B40&lt;=$Q$5+C40,Carga!L27,$M$6)</f>
        <v>0.2969</v>
      </c>
      <c r="E40" s="81">
        <f t="shared" si="0"/>
        <v>0.30690000000000001</v>
      </c>
      <c r="F40" s="74">
        <f t="shared" si="8"/>
        <v>0</v>
      </c>
      <c r="G40" s="73">
        <f t="shared" si="1"/>
        <v>0</v>
      </c>
      <c r="H40" s="74"/>
      <c r="I40" s="103">
        <f>+'Flujos de fondo MIN'!B27</f>
        <v>44762</v>
      </c>
      <c r="J40" s="104">
        <f t="shared" si="9"/>
        <v>0.30690000000000001</v>
      </c>
      <c r="K40" s="82">
        <f t="shared" si="10"/>
        <v>0</v>
      </c>
      <c r="L40" s="82">
        <f t="shared" si="2"/>
        <v>0</v>
      </c>
      <c r="M40" s="82">
        <f t="shared" si="11"/>
        <v>0</v>
      </c>
      <c r="N40" s="105">
        <f t="shared" si="3"/>
        <v>0</v>
      </c>
      <c r="P40" s="75">
        <f t="shared" si="4"/>
        <v>701</v>
      </c>
      <c r="Q40" s="76">
        <f t="shared" si="5"/>
        <v>0</v>
      </c>
      <c r="R40" s="76">
        <f t="shared" si="6"/>
        <v>0</v>
      </c>
      <c r="U40" s="77"/>
      <c r="W40" s="77"/>
      <c r="X40" s="77"/>
      <c r="Y40" s="77"/>
    </row>
    <row r="41" spans="1:25" hidden="1" x14ac:dyDescent="0.3">
      <c r="A41" s="78">
        <f>+'Flujos de fondo MIN'!E28*$N$17/$G$5</f>
        <v>2140347</v>
      </c>
      <c r="B41" s="71">
        <f>+Carga!I28</f>
        <v>44773</v>
      </c>
      <c r="C41" s="79">
        <v>30</v>
      </c>
      <c r="D41" s="80">
        <f>+IF(B41&lt;=$Q$5+C41,Carga!L28,$M$6)</f>
        <v>0.2969</v>
      </c>
      <c r="E41" s="81">
        <f t="shared" si="0"/>
        <v>0.30690000000000001</v>
      </c>
      <c r="F41" s="74">
        <f t="shared" si="8"/>
        <v>0</v>
      </c>
      <c r="G41" s="73">
        <f t="shared" si="1"/>
        <v>0</v>
      </c>
      <c r="H41" s="74"/>
      <c r="I41" s="103">
        <f>+'Flujos de fondo MIN'!B28</f>
        <v>44793</v>
      </c>
      <c r="J41" s="104">
        <f t="shared" si="9"/>
        <v>0.30690000000000001</v>
      </c>
      <c r="K41" s="82">
        <f t="shared" si="10"/>
        <v>0</v>
      </c>
      <c r="L41" s="82">
        <f t="shared" si="2"/>
        <v>0</v>
      </c>
      <c r="M41" s="82">
        <f t="shared" si="11"/>
        <v>0</v>
      </c>
      <c r="N41" s="105">
        <f t="shared" si="3"/>
        <v>0</v>
      </c>
      <c r="P41" s="75">
        <f t="shared" si="4"/>
        <v>732</v>
      </c>
      <c r="Q41" s="76">
        <f t="shared" si="5"/>
        <v>0</v>
      </c>
      <c r="R41" s="76">
        <f t="shared" si="6"/>
        <v>0</v>
      </c>
      <c r="U41" s="77"/>
      <c r="W41" s="77"/>
      <c r="X41" s="77"/>
      <c r="Y41" s="77"/>
    </row>
    <row r="42" spans="1:25" hidden="1" x14ac:dyDescent="0.3">
      <c r="A42" s="78">
        <f>+'Flujos de fondo MIN'!E29*$N$17/$G$5</f>
        <v>2075183</v>
      </c>
      <c r="B42" s="71">
        <f>+Carga!I29</f>
        <v>44804</v>
      </c>
      <c r="C42" s="79">
        <v>30</v>
      </c>
      <c r="D42" s="80">
        <f>+IF(B42&lt;=$Q$5+C42,Carga!L29,$M$6)</f>
        <v>0.2969</v>
      </c>
      <c r="E42" s="81">
        <f t="shared" si="0"/>
        <v>0.30690000000000001</v>
      </c>
      <c r="F42" s="74">
        <f t="shared" si="8"/>
        <v>0</v>
      </c>
      <c r="G42" s="73">
        <f t="shared" si="1"/>
        <v>0</v>
      </c>
      <c r="H42" s="74"/>
      <c r="I42" s="103">
        <f>+'Flujos de fondo MIN'!B29</f>
        <v>44824</v>
      </c>
      <c r="J42" s="104">
        <f t="shared" si="9"/>
        <v>0.30690000000000001</v>
      </c>
      <c r="K42" s="82">
        <f t="shared" si="10"/>
        <v>0</v>
      </c>
      <c r="L42" s="82">
        <f t="shared" si="2"/>
        <v>0</v>
      </c>
      <c r="M42" s="82">
        <f t="shared" si="11"/>
        <v>0</v>
      </c>
      <c r="N42" s="105">
        <f t="shared" si="3"/>
        <v>0</v>
      </c>
      <c r="P42" s="75">
        <f t="shared" si="4"/>
        <v>763</v>
      </c>
      <c r="Q42" s="76">
        <f t="shared" si="5"/>
        <v>0</v>
      </c>
      <c r="R42" s="76">
        <f t="shared" si="6"/>
        <v>0</v>
      </c>
      <c r="U42" s="77"/>
      <c r="W42" s="77"/>
      <c r="X42" s="77"/>
      <c r="Y42" s="77"/>
    </row>
    <row r="43" spans="1:25" hidden="1" x14ac:dyDescent="0.3">
      <c r="A43" s="78">
        <f>+'Flujos de fondo MIN'!E30*$N$17/$G$5</f>
        <v>1324824</v>
      </c>
      <c r="B43" s="71">
        <f>+Carga!I30</f>
        <v>44834</v>
      </c>
      <c r="C43" s="79">
        <v>30</v>
      </c>
      <c r="D43" s="80">
        <f>+IF(B43&lt;=$Q$5+C43,Carga!L30,$M$6)</f>
        <v>0.2969</v>
      </c>
      <c r="E43" s="81">
        <f t="shared" si="0"/>
        <v>0.30690000000000001</v>
      </c>
      <c r="F43" s="74">
        <f t="shared" si="8"/>
        <v>0</v>
      </c>
      <c r="G43" s="73">
        <f t="shared" si="1"/>
        <v>0</v>
      </c>
      <c r="H43" s="74"/>
      <c r="I43" s="103">
        <f>+'Flujos de fondo MIN'!B30</f>
        <v>44854</v>
      </c>
      <c r="J43" s="104">
        <f t="shared" si="9"/>
        <v>0.30690000000000001</v>
      </c>
      <c r="K43" s="82">
        <f t="shared" si="10"/>
        <v>0</v>
      </c>
      <c r="L43" s="82">
        <f t="shared" si="2"/>
        <v>0</v>
      </c>
      <c r="M43" s="82">
        <f t="shared" si="11"/>
        <v>0</v>
      </c>
      <c r="N43" s="105">
        <f t="shared" si="3"/>
        <v>0</v>
      </c>
      <c r="P43" s="75">
        <f t="shared" si="4"/>
        <v>793</v>
      </c>
      <c r="Q43" s="76">
        <f t="shared" si="5"/>
        <v>0</v>
      </c>
      <c r="R43" s="76">
        <f t="shared" si="6"/>
        <v>0</v>
      </c>
      <c r="U43" s="77"/>
      <c r="W43" s="77"/>
      <c r="X43" s="77"/>
      <c r="Y43" s="77"/>
    </row>
    <row r="44" spans="1:25" hidden="1" x14ac:dyDescent="0.3">
      <c r="A44" s="78">
        <f>+'Flujos de fondo MIN'!E31*$N$17/$G$5</f>
        <v>1277252</v>
      </c>
      <c r="B44" s="71">
        <f>+Carga!I31</f>
        <v>44865</v>
      </c>
      <c r="C44" s="79">
        <v>30</v>
      </c>
      <c r="D44" s="80">
        <f>+IF(B44&lt;=$Q$5+C44,Carga!L31,$M$6)</f>
        <v>0.2969</v>
      </c>
      <c r="E44" s="81">
        <f t="shared" si="0"/>
        <v>0.30690000000000001</v>
      </c>
      <c r="F44" s="74">
        <f t="shared" si="8"/>
        <v>0</v>
      </c>
      <c r="G44" s="73">
        <f t="shared" si="1"/>
        <v>0</v>
      </c>
      <c r="H44" s="74"/>
      <c r="I44" s="103">
        <f>+'Flujos de fondo MIN'!B31</f>
        <v>44885</v>
      </c>
      <c r="J44" s="104">
        <f t="shared" si="9"/>
        <v>0.30690000000000001</v>
      </c>
      <c r="K44" s="82">
        <f t="shared" si="10"/>
        <v>0</v>
      </c>
      <c r="L44" s="82">
        <f t="shared" si="2"/>
        <v>0</v>
      </c>
      <c r="M44" s="82">
        <f t="shared" si="11"/>
        <v>0</v>
      </c>
      <c r="N44" s="105">
        <f t="shared" si="3"/>
        <v>0</v>
      </c>
      <c r="P44" s="75">
        <f t="shared" si="4"/>
        <v>824</v>
      </c>
      <c r="Q44" s="76">
        <f t="shared" si="5"/>
        <v>0</v>
      </c>
      <c r="R44" s="76">
        <f t="shared" si="6"/>
        <v>0</v>
      </c>
      <c r="U44" s="77"/>
      <c r="W44" s="77"/>
      <c r="X44" s="77"/>
      <c r="Y44" s="77"/>
    </row>
    <row r="45" spans="1:25" hidden="1" x14ac:dyDescent="0.3">
      <c r="A45" s="78">
        <f>+'Flujos de fondo MIN'!E32*$N$17/$G$5</f>
        <v>1257024</v>
      </c>
      <c r="B45" s="71">
        <f>+Carga!I32</f>
        <v>44895</v>
      </c>
      <c r="C45" s="79">
        <v>30</v>
      </c>
      <c r="D45" s="80">
        <f>+IF(B45&lt;=$Q$5+C45,Carga!L32,$M$6)</f>
        <v>0.2969</v>
      </c>
      <c r="E45" s="81">
        <f t="shared" si="0"/>
        <v>0.30690000000000001</v>
      </c>
      <c r="F45" s="74">
        <f t="shared" si="8"/>
        <v>0</v>
      </c>
      <c r="G45" s="73">
        <f t="shared" si="1"/>
        <v>0</v>
      </c>
      <c r="H45" s="74"/>
      <c r="I45" s="103">
        <f>+'Flujos de fondo MIN'!B32</f>
        <v>44915</v>
      </c>
      <c r="J45" s="104">
        <f t="shared" si="9"/>
        <v>0.30690000000000001</v>
      </c>
      <c r="K45" s="82">
        <f t="shared" si="10"/>
        <v>0</v>
      </c>
      <c r="L45" s="82">
        <f t="shared" si="2"/>
        <v>0</v>
      </c>
      <c r="M45" s="82">
        <f t="shared" si="11"/>
        <v>0</v>
      </c>
      <c r="N45" s="105">
        <f t="shared" si="3"/>
        <v>0</v>
      </c>
      <c r="P45" s="75">
        <f t="shared" si="4"/>
        <v>854</v>
      </c>
      <c r="Q45" s="76">
        <f t="shared" si="5"/>
        <v>0</v>
      </c>
      <c r="R45" s="76">
        <f t="shared" si="6"/>
        <v>0</v>
      </c>
      <c r="U45" s="77"/>
      <c r="W45" s="77"/>
      <c r="X45" s="77"/>
      <c r="Y45" s="77"/>
    </row>
    <row r="46" spans="1:25" hidden="1" x14ac:dyDescent="0.3">
      <c r="A46" s="78">
        <f>+'Flujos de fondo MIN'!E33*$N$17/$G$5</f>
        <v>1257173</v>
      </c>
      <c r="B46" s="71">
        <f>+Carga!I33</f>
        <v>44926</v>
      </c>
      <c r="C46" s="79">
        <v>30</v>
      </c>
      <c r="D46" s="80">
        <f>+IF(B46&lt;=$Q$5+C46,Carga!L33,$M$6)</f>
        <v>0.2969</v>
      </c>
      <c r="E46" s="81">
        <f t="shared" si="0"/>
        <v>0.30690000000000001</v>
      </c>
      <c r="F46" s="74">
        <f t="shared" si="8"/>
        <v>0</v>
      </c>
      <c r="G46" s="73">
        <f t="shared" si="1"/>
        <v>0</v>
      </c>
      <c r="H46" s="74"/>
      <c r="I46" s="103">
        <f>+'Flujos de fondo MIN'!B33</f>
        <v>44946</v>
      </c>
      <c r="J46" s="104">
        <f t="shared" si="9"/>
        <v>0.30690000000000001</v>
      </c>
      <c r="K46" s="82">
        <f t="shared" si="10"/>
        <v>0</v>
      </c>
      <c r="L46" s="82">
        <f t="shared" si="2"/>
        <v>0</v>
      </c>
      <c r="M46" s="82">
        <f t="shared" si="11"/>
        <v>0</v>
      </c>
      <c r="N46" s="105">
        <f t="shared" si="3"/>
        <v>0</v>
      </c>
      <c r="P46" s="75">
        <f t="shared" si="4"/>
        <v>885</v>
      </c>
      <c r="Q46" s="76">
        <f t="shared" si="5"/>
        <v>0</v>
      </c>
      <c r="R46" s="76">
        <f t="shared" si="6"/>
        <v>0</v>
      </c>
      <c r="U46" s="77"/>
      <c r="W46" s="77"/>
      <c r="X46" s="77"/>
      <c r="Y46" s="77"/>
    </row>
    <row r="47" spans="1:25" hidden="1" x14ac:dyDescent="0.3">
      <c r="A47" s="78">
        <f>+'Flujos de fondo MIN'!E34*$N$17/$G$5</f>
        <v>990192</v>
      </c>
      <c r="B47" s="71">
        <f>+Carga!I34</f>
        <v>44957</v>
      </c>
      <c r="C47" s="79">
        <v>30</v>
      </c>
      <c r="D47" s="80">
        <f>+IF(B47&lt;=$Q$5+C47,Carga!L34,$M$6)</f>
        <v>0.2969</v>
      </c>
      <c r="E47" s="81">
        <f t="shared" si="0"/>
        <v>0.30690000000000001</v>
      </c>
      <c r="F47" s="74">
        <f t="shared" si="8"/>
        <v>0</v>
      </c>
      <c r="G47" s="73">
        <f t="shared" si="1"/>
        <v>0</v>
      </c>
      <c r="H47" s="74"/>
      <c r="I47" s="103">
        <f>+'Flujos de fondo MIN'!B34</f>
        <v>44977</v>
      </c>
      <c r="J47" s="104">
        <f t="shared" si="9"/>
        <v>0.30690000000000001</v>
      </c>
      <c r="K47" s="82">
        <f t="shared" si="10"/>
        <v>0</v>
      </c>
      <c r="L47" s="82">
        <f t="shared" si="2"/>
        <v>0</v>
      </c>
      <c r="M47" s="82">
        <f t="shared" si="11"/>
        <v>0</v>
      </c>
      <c r="N47" s="105">
        <f t="shared" si="3"/>
        <v>0</v>
      </c>
      <c r="P47" s="75">
        <f t="shared" si="4"/>
        <v>916</v>
      </c>
      <c r="Q47" s="76">
        <f t="shared" si="5"/>
        <v>0</v>
      </c>
      <c r="R47" s="76">
        <f t="shared" si="6"/>
        <v>0</v>
      </c>
      <c r="U47" s="77"/>
      <c r="W47" s="77"/>
      <c r="X47" s="77"/>
      <c r="Y47" s="77"/>
    </row>
    <row r="48" spans="1:25" hidden="1" x14ac:dyDescent="0.3">
      <c r="A48" s="78">
        <f>+'Flujos de fondo MIN'!E35*$N$17/$G$5</f>
        <v>545050</v>
      </c>
      <c r="B48" s="71">
        <f>+Carga!I35</f>
        <v>44985</v>
      </c>
      <c r="C48" s="79">
        <v>30</v>
      </c>
      <c r="D48" s="80">
        <f>+IF(B48&lt;=$Q$5+C48,Carga!L35,$M$6)</f>
        <v>0.2969</v>
      </c>
      <c r="E48" s="81">
        <f t="shared" si="0"/>
        <v>0.30690000000000001</v>
      </c>
      <c r="F48" s="74">
        <f t="shared" si="8"/>
        <v>0</v>
      </c>
      <c r="G48" s="73">
        <f t="shared" si="1"/>
        <v>0</v>
      </c>
      <c r="H48" s="74"/>
      <c r="I48" s="103">
        <f>+'Flujos de fondo MIN'!B35</f>
        <v>45005</v>
      </c>
      <c r="J48" s="104">
        <f t="shared" si="9"/>
        <v>0.30690000000000001</v>
      </c>
      <c r="K48" s="82">
        <f t="shared" si="10"/>
        <v>0</v>
      </c>
      <c r="L48" s="82">
        <f t="shared" si="2"/>
        <v>0</v>
      </c>
      <c r="M48" s="82">
        <f t="shared" si="11"/>
        <v>0</v>
      </c>
      <c r="N48" s="105">
        <f t="shared" si="3"/>
        <v>0</v>
      </c>
      <c r="P48" s="75">
        <f t="shared" si="4"/>
        <v>944</v>
      </c>
      <c r="Q48" s="76">
        <f t="shared" si="5"/>
        <v>0</v>
      </c>
      <c r="R48" s="76">
        <f t="shared" si="6"/>
        <v>0</v>
      </c>
      <c r="U48" s="77"/>
      <c r="W48" s="77"/>
      <c r="X48" s="77"/>
      <c r="Y48" s="77"/>
    </row>
    <row r="49" spans="1:21" hidden="1" x14ac:dyDescent="0.3">
      <c r="A49" s="78">
        <f>+'Flujos de fondo MIN'!E36*$N$17/$G$5</f>
        <v>232586</v>
      </c>
      <c r="B49" s="71">
        <f>+Carga!I36</f>
        <v>45016</v>
      </c>
      <c r="C49" s="79">
        <v>30</v>
      </c>
      <c r="D49" s="80">
        <f>+IF(B49&lt;=$Q$5+C49,Carga!L36,$M$6)</f>
        <v>0.2969</v>
      </c>
      <c r="E49" s="81">
        <f t="shared" si="0"/>
        <v>0.30690000000000001</v>
      </c>
      <c r="F49" s="74">
        <f t="shared" si="8"/>
        <v>0</v>
      </c>
      <c r="G49" s="73">
        <f t="shared" si="1"/>
        <v>0</v>
      </c>
      <c r="H49" s="74"/>
      <c r="I49" s="103">
        <f>+'Flujos de fondo MIN'!B36</f>
        <v>45036</v>
      </c>
      <c r="J49" s="104">
        <f t="shared" si="9"/>
        <v>0.30690000000000001</v>
      </c>
      <c r="K49" s="82">
        <f t="shared" si="10"/>
        <v>0</v>
      </c>
      <c r="L49" s="82">
        <f t="shared" si="2"/>
        <v>0</v>
      </c>
      <c r="M49" s="82">
        <f t="shared" si="11"/>
        <v>0</v>
      </c>
      <c r="N49" s="105">
        <f t="shared" si="3"/>
        <v>0</v>
      </c>
      <c r="P49" s="75">
        <f t="shared" si="4"/>
        <v>975</v>
      </c>
      <c r="Q49" s="76">
        <f t="shared" si="5"/>
        <v>0</v>
      </c>
      <c r="R49" s="76">
        <f t="shared" si="6"/>
        <v>0</v>
      </c>
      <c r="U49" s="77"/>
    </row>
    <row r="50" spans="1:21" hidden="1" x14ac:dyDescent="0.3">
      <c r="A50" s="78">
        <f>+'Flujos de fondo MIN'!E37*$N$17/$G$5</f>
        <v>19580</v>
      </c>
      <c r="B50" s="71">
        <f>+Carga!I37</f>
        <v>45046</v>
      </c>
      <c r="C50" s="79">
        <v>30</v>
      </c>
      <c r="D50" s="80">
        <f>+IF(B50&lt;=$Q$5+C50,Carga!L37,$M$6)</f>
        <v>0.2969</v>
      </c>
      <c r="E50" s="81">
        <f t="shared" si="0"/>
        <v>0.30690000000000001</v>
      </c>
      <c r="F50" s="74">
        <f t="shared" si="8"/>
        <v>0</v>
      </c>
      <c r="G50" s="73">
        <f t="shared" si="1"/>
        <v>0</v>
      </c>
      <c r="H50" s="74"/>
      <c r="I50" s="103">
        <f>+'Flujos de fondo MIN'!B37</f>
        <v>45066</v>
      </c>
      <c r="J50" s="104">
        <f t="shared" si="9"/>
        <v>0.30690000000000001</v>
      </c>
      <c r="K50" s="82">
        <f t="shared" si="10"/>
        <v>0</v>
      </c>
      <c r="L50" s="82">
        <f t="shared" si="2"/>
        <v>0</v>
      </c>
      <c r="M50" s="82">
        <f t="shared" si="11"/>
        <v>0</v>
      </c>
      <c r="N50" s="105">
        <f t="shared" si="3"/>
        <v>0</v>
      </c>
      <c r="P50" s="75">
        <f t="shared" si="4"/>
        <v>1005</v>
      </c>
      <c r="Q50" s="76">
        <f t="shared" si="5"/>
        <v>0</v>
      </c>
      <c r="R50" s="76">
        <f t="shared" si="6"/>
        <v>0</v>
      </c>
      <c r="U50" s="77"/>
    </row>
    <row r="51" spans="1:21" hidden="1" x14ac:dyDescent="0.3">
      <c r="A51" s="78">
        <f>+'Flujos de fondo MIN'!E38*$N$17/$G$5</f>
        <v>0</v>
      </c>
      <c r="B51" s="71">
        <f>+Carga!I38</f>
        <v>0</v>
      </c>
      <c r="C51" s="79">
        <v>30</v>
      </c>
      <c r="D51" s="80">
        <f>+IF(B51&lt;=$Q$5+C51,Carga!L38,$M$6)</f>
        <v>0.2969</v>
      </c>
      <c r="E51" s="81">
        <f t="shared" si="0"/>
        <v>0.30690000000000001</v>
      </c>
      <c r="F51" s="74">
        <f t="shared" si="8"/>
        <v>0</v>
      </c>
      <c r="G51" s="73">
        <f t="shared" si="1"/>
        <v>0</v>
      </c>
      <c r="H51" s="74"/>
      <c r="I51" s="103">
        <f>+'Flujos de fondo MIN'!B38</f>
        <v>0</v>
      </c>
      <c r="J51" s="104">
        <f t="shared" si="9"/>
        <v>0.30690000000000001</v>
      </c>
      <c r="K51" s="82">
        <f t="shared" si="10"/>
        <v>0</v>
      </c>
      <c r="L51" s="82">
        <f t="shared" si="2"/>
        <v>0</v>
      </c>
      <c r="M51" s="82">
        <f t="shared" si="11"/>
        <v>0</v>
      </c>
      <c r="N51" s="105">
        <f t="shared" si="3"/>
        <v>0</v>
      </c>
      <c r="P51" s="75">
        <f t="shared" si="4"/>
        <v>-44061</v>
      </c>
      <c r="Q51" s="76">
        <f t="shared" si="5"/>
        <v>0</v>
      </c>
      <c r="R51" s="76">
        <f t="shared" si="6"/>
        <v>0</v>
      </c>
      <c r="U51" s="77"/>
    </row>
    <row r="52" spans="1:21" hidden="1" x14ac:dyDescent="0.3">
      <c r="A52" s="78">
        <f>+'Flujos de fondo MIN'!E39*$N$17/$G$5</f>
        <v>0</v>
      </c>
      <c r="B52" s="71">
        <f>+Carga!I39</f>
        <v>0</v>
      </c>
      <c r="C52" s="79">
        <v>30</v>
      </c>
      <c r="D52" s="80">
        <f>+IF(B52&lt;=$Q$5+C52,Carga!L39,$M$6)</f>
        <v>0.2969</v>
      </c>
      <c r="E52" s="81">
        <f t="shared" si="0"/>
        <v>0.30690000000000001</v>
      </c>
      <c r="F52" s="74">
        <f t="shared" si="8"/>
        <v>0</v>
      </c>
      <c r="G52" s="73">
        <f t="shared" si="1"/>
        <v>0</v>
      </c>
      <c r="H52" s="74"/>
      <c r="I52" s="103">
        <f>+'Flujos de fondo MIN'!B39</f>
        <v>0</v>
      </c>
      <c r="J52" s="104">
        <f t="shared" si="9"/>
        <v>0.30690000000000001</v>
      </c>
      <c r="K52" s="82">
        <f t="shared" si="10"/>
        <v>0</v>
      </c>
      <c r="L52" s="82">
        <f t="shared" si="2"/>
        <v>0</v>
      </c>
      <c r="M52" s="82">
        <f t="shared" si="11"/>
        <v>0</v>
      </c>
      <c r="N52" s="105">
        <f t="shared" si="3"/>
        <v>0</v>
      </c>
      <c r="P52" s="75">
        <f t="shared" si="4"/>
        <v>-44061</v>
      </c>
      <c r="Q52" s="76">
        <f t="shared" si="5"/>
        <v>0</v>
      </c>
      <c r="R52" s="76">
        <f t="shared" si="6"/>
        <v>0</v>
      </c>
      <c r="U52" s="77"/>
    </row>
    <row r="53" spans="1:21" ht="17.25" hidden="1" thickBot="1" x14ac:dyDescent="0.35">
      <c r="A53" s="78">
        <f>+'Flujos de fondo MIN'!E40*$N$17/$G$5</f>
        <v>0</v>
      </c>
      <c r="B53" s="71">
        <f>+Carga!I40</f>
        <v>0</v>
      </c>
      <c r="C53" s="79">
        <v>30</v>
      </c>
      <c r="D53" s="80">
        <f>+IF(B53&lt;=$Q$5+C53,Carga!L40,$M$6)</f>
        <v>0.2969</v>
      </c>
      <c r="E53" s="81">
        <f t="shared" si="0"/>
        <v>0.30690000000000001</v>
      </c>
      <c r="F53" s="74">
        <f t="shared" si="8"/>
        <v>0</v>
      </c>
      <c r="G53" s="73">
        <f t="shared" si="1"/>
        <v>0</v>
      </c>
      <c r="H53" s="74"/>
      <c r="I53" s="103">
        <f>+'Flujos de fondo MIN'!B40</f>
        <v>0</v>
      </c>
      <c r="J53" s="104">
        <f t="shared" si="9"/>
        <v>0.30690000000000001</v>
      </c>
      <c r="K53" s="82">
        <f t="shared" si="10"/>
        <v>0</v>
      </c>
      <c r="L53" s="82">
        <f t="shared" si="2"/>
        <v>0</v>
      </c>
      <c r="M53" s="82">
        <f t="shared" si="11"/>
        <v>0</v>
      </c>
      <c r="N53" s="105">
        <f t="shared" si="3"/>
        <v>0</v>
      </c>
      <c r="P53" s="75">
        <f t="shared" si="4"/>
        <v>-44061</v>
      </c>
      <c r="Q53" s="76">
        <f t="shared" si="5"/>
        <v>0</v>
      </c>
      <c r="R53" s="76">
        <f t="shared" si="6"/>
        <v>0</v>
      </c>
      <c r="U53" s="77"/>
    </row>
    <row r="54" spans="1:21" ht="17.25" thickBot="1" x14ac:dyDescent="0.35">
      <c r="A54" s="83">
        <f>SUM(A18:A40)</f>
        <v>140678660</v>
      </c>
      <c r="F54" s="83">
        <f>+SUM(F18:F53)</f>
        <v>13973287.947357198</v>
      </c>
      <c r="I54" s="96" t="s">
        <v>30</v>
      </c>
      <c r="J54" s="97"/>
      <c r="K54" s="98">
        <f>+SUM(K18:K53)</f>
        <v>88800000.000000015</v>
      </c>
      <c r="L54" s="98">
        <f>+SUM(L18:L53)</f>
        <v>13973287.947357198</v>
      </c>
      <c r="M54" s="98">
        <f>+SUM(M18:M53)</f>
        <v>102773287.94735721</v>
      </c>
      <c r="N54" s="98">
        <f>+N53</f>
        <v>0</v>
      </c>
      <c r="P54" s="76"/>
      <c r="Q54" s="76">
        <f t="shared" ref="Q54:R54" si="16">+SUM(Q18:Q53)</f>
        <v>88870645.14436397</v>
      </c>
      <c r="R54" s="76">
        <f t="shared" si="16"/>
        <v>15547955201.208881</v>
      </c>
    </row>
    <row r="55" spans="1:21" hidden="1" x14ac:dyDescent="0.3">
      <c r="I55" s="84"/>
      <c r="J55" s="84"/>
      <c r="K55" s="85">
        <f>+'Flujos de fondo MIN'!I66-K54</f>
        <v>0</v>
      </c>
      <c r="L55" s="85">
        <f>+'Flujos de fondo MIN'!J66-L54</f>
        <v>0</v>
      </c>
      <c r="M55" s="85">
        <f>+'Flujos de fondo MIN'!K66-M54</f>
        <v>0</v>
      </c>
      <c r="Q55" s="76"/>
      <c r="R55" s="76">
        <f>+R54/Q54</f>
        <v>174.95040320628198</v>
      </c>
    </row>
    <row r="56" spans="1:21" x14ac:dyDescent="0.3">
      <c r="A56" s="77"/>
      <c r="I56" s="84"/>
      <c r="J56" s="84"/>
      <c r="K56" s="77"/>
      <c r="L56" s="77"/>
      <c r="M56" s="77"/>
      <c r="Q56" s="86" t="s">
        <v>17</v>
      </c>
      <c r="R56" s="87">
        <f>+R55/30</f>
        <v>5.8316801068760658</v>
      </c>
    </row>
    <row r="57" spans="1:21" ht="16.5" customHeight="1" x14ac:dyDescent="0.3">
      <c r="I57" s="143" t="s">
        <v>68</v>
      </c>
      <c r="J57" s="143"/>
      <c r="K57" s="143"/>
      <c r="L57" s="143"/>
      <c r="M57" s="143"/>
      <c r="N57" s="143"/>
      <c r="O57" s="111"/>
      <c r="Q57" s="86" t="s">
        <v>31</v>
      </c>
      <c r="R57" s="87">
        <f>+R56/((1+M7)^(1/12))</f>
        <v>5.6894048151228374</v>
      </c>
    </row>
    <row r="58" spans="1:21" x14ac:dyDescent="0.3">
      <c r="I58" s="143"/>
      <c r="J58" s="143"/>
      <c r="K58" s="143"/>
      <c r="L58" s="143"/>
      <c r="M58" s="143"/>
      <c r="N58" s="143"/>
      <c r="O58" s="111"/>
    </row>
    <row r="59" spans="1:21" x14ac:dyDescent="0.3">
      <c r="I59" s="143"/>
      <c r="J59" s="143"/>
      <c r="K59" s="143"/>
      <c r="L59" s="143"/>
      <c r="M59" s="143"/>
      <c r="N59" s="143"/>
      <c r="O59" s="111"/>
    </row>
    <row r="60" spans="1:21" x14ac:dyDescent="0.3">
      <c r="I60" s="143"/>
      <c r="J60" s="143"/>
      <c r="K60" s="143"/>
      <c r="L60" s="143"/>
      <c r="M60" s="143"/>
      <c r="N60" s="143"/>
      <c r="O60" s="111"/>
    </row>
    <row r="61" spans="1:21" x14ac:dyDescent="0.3">
      <c r="I61" s="143"/>
      <c r="J61" s="143"/>
      <c r="K61" s="143"/>
      <c r="L61" s="143"/>
      <c r="M61" s="143"/>
      <c r="N61" s="143"/>
      <c r="O61" s="111"/>
    </row>
    <row r="62" spans="1:21" x14ac:dyDescent="0.3">
      <c r="I62" s="111"/>
      <c r="J62" s="111"/>
      <c r="K62" s="111"/>
      <c r="L62" s="111"/>
      <c r="M62" s="111"/>
      <c r="N62" s="111"/>
      <c r="O62" s="111"/>
    </row>
    <row r="63" spans="1:21" x14ac:dyDescent="0.3">
      <c r="I63" s="84"/>
      <c r="J63" s="84"/>
    </row>
    <row r="64" spans="1:21" x14ac:dyDescent="0.3">
      <c r="I64" s="84"/>
      <c r="J64" s="84"/>
    </row>
  </sheetData>
  <sheetProtection algorithmName="SHA-512" hashValue="NrQ1ijbtTKhffdXT01s4faPkmIGyL5xskpwU7JjgGtLprIQTY11NOINd386vYGW8JQmA48PMFwoCpcexMD3uRw==" saltValue="8kAJk7x9/BfaZXQBTL+E3Q==" spinCount="100000" sheet="1" objects="1" scenarios="1" selectLockedCells="1"/>
  <mergeCells count="8">
    <mergeCell ref="W15:AB15"/>
    <mergeCell ref="I57:N61"/>
    <mergeCell ref="A15:A16"/>
    <mergeCell ref="B15:G15"/>
    <mergeCell ref="I15:N15"/>
    <mergeCell ref="D16:D17"/>
    <mergeCell ref="E16:E17"/>
    <mergeCell ref="F16:F17"/>
  </mergeCells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AB64"/>
  <sheetViews>
    <sheetView showGridLines="0" topLeftCell="H1" zoomScale="80" zoomScaleNormal="80" workbookViewId="0">
      <selection activeCell="M7" sqref="M7"/>
    </sheetView>
  </sheetViews>
  <sheetFormatPr baseColWidth="10" defaultColWidth="9" defaultRowHeight="16.5" outlineLevelCol="1" x14ac:dyDescent="0.3"/>
  <cols>
    <col min="1" max="1" width="15.5703125" style="59" hidden="1" customWidth="1" outlineLevel="1"/>
    <col min="2" max="4" width="16.28515625" style="59" hidden="1" customWidth="1" outlineLevel="1"/>
    <col min="5" max="5" width="12.42578125" style="59" hidden="1" customWidth="1" outlineLevel="1"/>
    <col min="6" max="6" width="17.85546875" style="59" hidden="1" customWidth="1" outlineLevel="1"/>
    <col min="7" max="7" width="19.85546875" style="59" hidden="1" customWidth="1" outlineLevel="1"/>
    <col min="8" max="8" width="7.85546875" style="59" customWidth="1" collapsed="1"/>
    <col min="9" max="14" width="23.7109375" style="59" customWidth="1"/>
    <col min="15" max="15" width="9" style="59" customWidth="1"/>
    <col min="16" max="16" width="13.85546875" style="59" hidden="1" customWidth="1" outlineLevel="1"/>
    <col min="17" max="17" width="16.140625" style="59" hidden="1" customWidth="1" outlineLevel="1"/>
    <col min="18" max="18" width="14.42578125" style="59" hidden="1" customWidth="1" outlineLevel="1"/>
    <col min="19" max="19" width="16" style="59" hidden="1" customWidth="1" outlineLevel="1"/>
    <col min="20" max="20" width="14.140625" style="59" hidden="1" customWidth="1" outlineLevel="1"/>
    <col min="21" max="21" width="15.7109375" style="59" hidden="1" customWidth="1" outlineLevel="1"/>
    <col min="22" max="22" width="16.7109375" style="59" customWidth="1" collapsed="1"/>
    <col min="23" max="28" width="15.85546875" style="59" customWidth="1"/>
    <col min="29" max="248" width="9" style="59"/>
    <col min="249" max="249" width="15.5703125" style="59" customWidth="1"/>
    <col min="250" max="252" width="16.28515625" style="59" customWidth="1"/>
    <col min="253" max="253" width="12.42578125" style="59" customWidth="1"/>
    <col min="254" max="254" width="12.7109375" style="59" customWidth="1"/>
    <col min="255" max="255" width="17" style="59" customWidth="1"/>
    <col min="256" max="256" width="34" style="59" customWidth="1"/>
    <col min="257" max="257" width="22.7109375" style="59" customWidth="1"/>
    <col min="258" max="258" width="15.140625" style="59" customWidth="1"/>
    <col min="259" max="259" width="19.7109375" style="59" bestFit="1" customWidth="1"/>
    <col min="260" max="260" width="17" style="59" bestFit="1" customWidth="1"/>
    <col min="261" max="261" width="9" style="59" customWidth="1"/>
    <col min="262" max="263" width="24.5703125" style="59" customWidth="1"/>
    <col min="264" max="264" width="13.85546875" style="59" customWidth="1"/>
    <col min="265" max="265" width="16.140625" style="59" customWidth="1"/>
    <col min="266" max="266" width="14.42578125" style="59" bestFit="1" customWidth="1"/>
    <col min="267" max="267" width="16" style="59" bestFit="1" customWidth="1"/>
    <col min="268" max="268" width="12.28515625" style="59" bestFit="1" customWidth="1"/>
    <col min="269" max="269" width="9" style="59"/>
    <col min="270" max="270" width="15.7109375" style="59" bestFit="1" customWidth="1"/>
    <col min="271" max="504" width="9" style="59"/>
    <col min="505" max="505" width="15.5703125" style="59" customWidth="1"/>
    <col min="506" max="508" width="16.28515625" style="59" customWidth="1"/>
    <col min="509" max="509" width="12.42578125" style="59" customWidth="1"/>
    <col min="510" max="510" width="12.7109375" style="59" customWidth="1"/>
    <col min="511" max="511" width="17" style="59" customWidth="1"/>
    <col min="512" max="512" width="34" style="59" customWidth="1"/>
    <col min="513" max="513" width="22.7109375" style="59" customWidth="1"/>
    <col min="514" max="514" width="15.140625" style="59" customWidth="1"/>
    <col min="515" max="515" width="19.7109375" style="59" bestFit="1" customWidth="1"/>
    <col min="516" max="516" width="17" style="59" bestFit="1" customWidth="1"/>
    <col min="517" max="517" width="9" style="59" customWidth="1"/>
    <col min="518" max="519" width="24.5703125" style="59" customWidth="1"/>
    <col min="520" max="520" width="13.85546875" style="59" customWidth="1"/>
    <col min="521" max="521" width="16.140625" style="59" customWidth="1"/>
    <col min="522" max="522" width="14.42578125" style="59" bestFit="1" customWidth="1"/>
    <col min="523" max="523" width="16" style="59" bestFit="1" customWidth="1"/>
    <col min="524" max="524" width="12.28515625" style="59" bestFit="1" customWidth="1"/>
    <col min="525" max="525" width="9" style="59"/>
    <col min="526" max="526" width="15.7109375" style="59" bestFit="1" customWidth="1"/>
    <col min="527" max="760" width="9" style="59"/>
    <col min="761" max="761" width="15.5703125" style="59" customWidth="1"/>
    <col min="762" max="764" width="16.28515625" style="59" customWidth="1"/>
    <col min="765" max="765" width="12.42578125" style="59" customWidth="1"/>
    <col min="766" max="766" width="12.7109375" style="59" customWidth="1"/>
    <col min="767" max="767" width="17" style="59" customWidth="1"/>
    <col min="768" max="768" width="34" style="59" customWidth="1"/>
    <col min="769" max="769" width="22.7109375" style="59" customWidth="1"/>
    <col min="770" max="770" width="15.140625" style="59" customWidth="1"/>
    <col min="771" max="771" width="19.7109375" style="59" bestFit="1" customWidth="1"/>
    <col min="772" max="772" width="17" style="59" bestFit="1" customWidth="1"/>
    <col min="773" max="773" width="9" style="59" customWidth="1"/>
    <col min="774" max="775" width="24.5703125" style="59" customWidth="1"/>
    <col min="776" max="776" width="13.85546875" style="59" customWidth="1"/>
    <col min="777" max="777" width="16.140625" style="59" customWidth="1"/>
    <col min="778" max="778" width="14.42578125" style="59" bestFit="1" customWidth="1"/>
    <col min="779" max="779" width="16" style="59" bestFit="1" customWidth="1"/>
    <col min="780" max="780" width="12.28515625" style="59" bestFit="1" customWidth="1"/>
    <col min="781" max="781" width="9" style="59"/>
    <col min="782" max="782" width="15.7109375" style="59" bestFit="1" customWidth="1"/>
    <col min="783" max="1016" width="9" style="59"/>
    <col min="1017" max="1017" width="15.5703125" style="59" customWidth="1"/>
    <col min="1018" max="1020" width="16.28515625" style="59" customWidth="1"/>
    <col min="1021" max="1021" width="12.42578125" style="59" customWidth="1"/>
    <col min="1022" max="1022" width="12.7109375" style="59" customWidth="1"/>
    <col min="1023" max="1023" width="17" style="59" customWidth="1"/>
    <col min="1024" max="1024" width="34" style="59" customWidth="1"/>
    <col min="1025" max="1025" width="22.7109375" style="59" customWidth="1"/>
    <col min="1026" max="1026" width="15.140625" style="59" customWidth="1"/>
    <col min="1027" max="1027" width="19.7109375" style="59" bestFit="1" customWidth="1"/>
    <col min="1028" max="1028" width="17" style="59" bestFit="1" customWidth="1"/>
    <col min="1029" max="1029" width="9" style="59" customWidth="1"/>
    <col min="1030" max="1031" width="24.5703125" style="59" customWidth="1"/>
    <col min="1032" max="1032" width="13.85546875" style="59" customWidth="1"/>
    <col min="1033" max="1033" width="16.140625" style="59" customWidth="1"/>
    <col min="1034" max="1034" width="14.42578125" style="59" bestFit="1" customWidth="1"/>
    <col min="1035" max="1035" width="16" style="59" bestFit="1" customWidth="1"/>
    <col min="1036" max="1036" width="12.28515625" style="59" bestFit="1" customWidth="1"/>
    <col min="1037" max="1037" width="9" style="59"/>
    <col min="1038" max="1038" width="15.7109375" style="59" bestFit="1" customWidth="1"/>
    <col min="1039" max="1272" width="9" style="59"/>
    <col min="1273" max="1273" width="15.5703125" style="59" customWidth="1"/>
    <col min="1274" max="1276" width="16.28515625" style="59" customWidth="1"/>
    <col min="1277" max="1277" width="12.42578125" style="59" customWidth="1"/>
    <col min="1278" max="1278" width="12.7109375" style="59" customWidth="1"/>
    <col min="1279" max="1279" width="17" style="59" customWidth="1"/>
    <col min="1280" max="1280" width="34" style="59" customWidth="1"/>
    <col min="1281" max="1281" width="22.7109375" style="59" customWidth="1"/>
    <col min="1282" max="1282" width="15.140625" style="59" customWidth="1"/>
    <col min="1283" max="1283" width="19.7109375" style="59" bestFit="1" customWidth="1"/>
    <col min="1284" max="1284" width="17" style="59" bestFit="1" customWidth="1"/>
    <col min="1285" max="1285" width="9" style="59" customWidth="1"/>
    <col min="1286" max="1287" width="24.5703125" style="59" customWidth="1"/>
    <col min="1288" max="1288" width="13.85546875" style="59" customWidth="1"/>
    <col min="1289" max="1289" width="16.140625" style="59" customWidth="1"/>
    <col min="1290" max="1290" width="14.42578125" style="59" bestFit="1" customWidth="1"/>
    <col min="1291" max="1291" width="16" style="59" bestFit="1" customWidth="1"/>
    <col min="1292" max="1292" width="12.28515625" style="59" bestFit="1" customWidth="1"/>
    <col min="1293" max="1293" width="9" style="59"/>
    <col min="1294" max="1294" width="15.7109375" style="59" bestFit="1" customWidth="1"/>
    <col min="1295" max="1528" width="9" style="59"/>
    <col min="1529" max="1529" width="15.5703125" style="59" customWidth="1"/>
    <col min="1530" max="1532" width="16.28515625" style="59" customWidth="1"/>
    <col min="1533" max="1533" width="12.42578125" style="59" customWidth="1"/>
    <col min="1534" max="1534" width="12.7109375" style="59" customWidth="1"/>
    <col min="1535" max="1535" width="17" style="59" customWidth="1"/>
    <col min="1536" max="1536" width="34" style="59" customWidth="1"/>
    <col min="1537" max="1537" width="22.7109375" style="59" customWidth="1"/>
    <col min="1538" max="1538" width="15.140625" style="59" customWidth="1"/>
    <col min="1539" max="1539" width="19.7109375" style="59" bestFit="1" customWidth="1"/>
    <col min="1540" max="1540" width="17" style="59" bestFit="1" customWidth="1"/>
    <col min="1541" max="1541" width="9" style="59" customWidth="1"/>
    <col min="1542" max="1543" width="24.5703125" style="59" customWidth="1"/>
    <col min="1544" max="1544" width="13.85546875" style="59" customWidth="1"/>
    <col min="1545" max="1545" width="16.140625" style="59" customWidth="1"/>
    <col min="1546" max="1546" width="14.42578125" style="59" bestFit="1" customWidth="1"/>
    <col min="1547" max="1547" width="16" style="59" bestFit="1" customWidth="1"/>
    <col min="1548" max="1548" width="12.28515625" style="59" bestFit="1" customWidth="1"/>
    <col min="1549" max="1549" width="9" style="59"/>
    <col min="1550" max="1550" width="15.7109375" style="59" bestFit="1" customWidth="1"/>
    <col min="1551" max="1784" width="9" style="59"/>
    <col min="1785" max="1785" width="15.5703125" style="59" customWidth="1"/>
    <col min="1786" max="1788" width="16.28515625" style="59" customWidth="1"/>
    <col min="1789" max="1789" width="12.42578125" style="59" customWidth="1"/>
    <col min="1790" max="1790" width="12.7109375" style="59" customWidth="1"/>
    <col min="1791" max="1791" width="17" style="59" customWidth="1"/>
    <col min="1792" max="1792" width="34" style="59" customWidth="1"/>
    <col min="1793" max="1793" width="22.7109375" style="59" customWidth="1"/>
    <col min="1794" max="1794" width="15.140625" style="59" customWidth="1"/>
    <col min="1795" max="1795" width="19.7109375" style="59" bestFit="1" customWidth="1"/>
    <col min="1796" max="1796" width="17" style="59" bestFit="1" customWidth="1"/>
    <col min="1797" max="1797" width="9" style="59" customWidth="1"/>
    <col min="1798" max="1799" width="24.5703125" style="59" customWidth="1"/>
    <col min="1800" max="1800" width="13.85546875" style="59" customWidth="1"/>
    <col min="1801" max="1801" width="16.140625" style="59" customWidth="1"/>
    <col min="1802" max="1802" width="14.42578125" style="59" bestFit="1" customWidth="1"/>
    <col min="1803" max="1803" width="16" style="59" bestFit="1" customWidth="1"/>
    <col min="1804" max="1804" width="12.28515625" style="59" bestFit="1" customWidth="1"/>
    <col min="1805" max="1805" width="9" style="59"/>
    <col min="1806" max="1806" width="15.7109375" style="59" bestFit="1" customWidth="1"/>
    <col min="1807" max="2040" width="9" style="59"/>
    <col min="2041" max="2041" width="15.5703125" style="59" customWidth="1"/>
    <col min="2042" max="2044" width="16.28515625" style="59" customWidth="1"/>
    <col min="2045" max="2045" width="12.42578125" style="59" customWidth="1"/>
    <col min="2046" max="2046" width="12.7109375" style="59" customWidth="1"/>
    <col min="2047" max="2047" width="17" style="59" customWidth="1"/>
    <col min="2048" max="2048" width="34" style="59" customWidth="1"/>
    <col min="2049" max="2049" width="22.7109375" style="59" customWidth="1"/>
    <col min="2050" max="2050" width="15.140625" style="59" customWidth="1"/>
    <col min="2051" max="2051" width="19.7109375" style="59" bestFit="1" customWidth="1"/>
    <col min="2052" max="2052" width="17" style="59" bestFit="1" customWidth="1"/>
    <col min="2053" max="2053" width="9" style="59" customWidth="1"/>
    <col min="2054" max="2055" width="24.5703125" style="59" customWidth="1"/>
    <col min="2056" max="2056" width="13.85546875" style="59" customWidth="1"/>
    <col min="2057" max="2057" width="16.140625" style="59" customWidth="1"/>
    <col min="2058" max="2058" width="14.42578125" style="59" bestFit="1" customWidth="1"/>
    <col min="2059" max="2059" width="16" style="59" bestFit="1" customWidth="1"/>
    <col min="2060" max="2060" width="12.28515625" style="59" bestFit="1" customWidth="1"/>
    <col min="2061" max="2061" width="9" style="59"/>
    <col min="2062" max="2062" width="15.7109375" style="59" bestFit="1" customWidth="1"/>
    <col min="2063" max="2296" width="9" style="59"/>
    <col min="2297" max="2297" width="15.5703125" style="59" customWidth="1"/>
    <col min="2298" max="2300" width="16.28515625" style="59" customWidth="1"/>
    <col min="2301" max="2301" width="12.42578125" style="59" customWidth="1"/>
    <col min="2302" max="2302" width="12.7109375" style="59" customWidth="1"/>
    <col min="2303" max="2303" width="17" style="59" customWidth="1"/>
    <col min="2304" max="2304" width="34" style="59" customWidth="1"/>
    <col min="2305" max="2305" width="22.7109375" style="59" customWidth="1"/>
    <col min="2306" max="2306" width="15.140625" style="59" customWidth="1"/>
    <col min="2307" max="2307" width="19.7109375" style="59" bestFit="1" customWidth="1"/>
    <col min="2308" max="2308" width="17" style="59" bestFit="1" customWidth="1"/>
    <col min="2309" max="2309" width="9" style="59" customWidth="1"/>
    <col min="2310" max="2311" width="24.5703125" style="59" customWidth="1"/>
    <col min="2312" max="2312" width="13.85546875" style="59" customWidth="1"/>
    <col min="2313" max="2313" width="16.140625" style="59" customWidth="1"/>
    <col min="2314" max="2314" width="14.42578125" style="59" bestFit="1" customWidth="1"/>
    <col min="2315" max="2315" width="16" style="59" bestFit="1" customWidth="1"/>
    <col min="2316" max="2316" width="12.28515625" style="59" bestFit="1" customWidth="1"/>
    <col min="2317" max="2317" width="9" style="59"/>
    <col min="2318" max="2318" width="15.7109375" style="59" bestFit="1" customWidth="1"/>
    <col min="2319" max="2552" width="9" style="59"/>
    <col min="2553" max="2553" width="15.5703125" style="59" customWidth="1"/>
    <col min="2554" max="2556" width="16.28515625" style="59" customWidth="1"/>
    <col min="2557" max="2557" width="12.42578125" style="59" customWidth="1"/>
    <col min="2558" max="2558" width="12.7109375" style="59" customWidth="1"/>
    <col min="2559" max="2559" width="17" style="59" customWidth="1"/>
    <col min="2560" max="2560" width="34" style="59" customWidth="1"/>
    <col min="2561" max="2561" width="22.7109375" style="59" customWidth="1"/>
    <col min="2562" max="2562" width="15.140625" style="59" customWidth="1"/>
    <col min="2563" max="2563" width="19.7109375" style="59" bestFit="1" customWidth="1"/>
    <col min="2564" max="2564" width="17" style="59" bestFit="1" customWidth="1"/>
    <col min="2565" max="2565" width="9" style="59" customWidth="1"/>
    <col min="2566" max="2567" width="24.5703125" style="59" customWidth="1"/>
    <col min="2568" max="2568" width="13.85546875" style="59" customWidth="1"/>
    <col min="2569" max="2569" width="16.140625" style="59" customWidth="1"/>
    <col min="2570" max="2570" width="14.42578125" style="59" bestFit="1" customWidth="1"/>
    <col min="2571" max="2571" width="16" style="59" bestFit="1" customWidth="1"/>
    <col min="2572" max="2572" width="12.28515625" style="59" bestFit="1" customWidth="1"/>
    <col min="2573" max="2573" width="9" style="59"/>
    <col min="2574" max="2574" width="15.7109375" style="59" bestFit="1" customWidth="1"/>
    <col min="2575" max="2808" width="9" style="59"/>
    <col min="2809" max="2809" width="15.5703125" style="59" customWidth="1"/>
    <col min="2810" max="2812" width="16.28515625" style="59" customWidth="1"/>
    <col min="2813" max="2813" width="12.42578125" style="59" customWidth="1"/>
    <col min="2814" max="2814" width="12.7109375" style="59" customWidth="1"/>
    <col min="2815" max="2815" width="17" style="59" customWidth="1"/>
    <col min="2816" max="2816" width="34" style="59" customWidth="1"/>
    <col min="2817" max="2817" width="22.7109375" style="59" customWidth="1"/>
    <col min="2818" max="2818" width="15.140625" style="59" customWidth="1"/>
    <col min="2819" max="2819" width="19.7109375" style="59" bestFit="1" customWidth="1"/>
    <col min="2820" max="2820" width="17" style="59" bestFit="1" customWidth="1"/>
    <col min="2821" max="2821" width="9" style="59" customWidth="1"/>
    <col min="2822" max="2823" width="24.5703125" style="59" customWidth="1"/>
    <col min="2824" max="2824" width="13.85546875" style="59" customWidth="1"/>
    <col min="2825" max="2825" width="16.140625" style="59" customWidth="1"/>
    <col min="2826" max="2826" width="14.42578125" style="59" bestFit="1" customWidth="1"/>
    <col min="2827" max="2827" width="16" style="59" bestFit="1" customWidth="1"/>
    <col min="2828" max="2828" width="12.28515625" style="59" bestFit="1" customWidth="1"/>
    <col min="2829" max="2829" width="9" style="59"/>
    <col min="2830" max="2830" width="15.7109375" style="59" bestFit="1" customWidth="1"/>
    <col min="2831" max="3064" width="9" style="59"/>
    <col min="3065" max="3065" width="15.5703125" style="59" customWidth="1"/>
    <col min="3066" max="3068" width="16.28515625" style="59" customWidth="1"/>
    <col min="3069" max="3069" width="12.42578125" style="59" customWidth="1"/>
    <col min="3070" max="3070" width="12.7109375" style="59" customWidth="1"/>
    <col min="3071" max="3071" width="17" style="59" customWidth="1"/>
    <col min="3072" max="3072" width="34" style="59" customWidth="1"/>
    <col min="3073" max="3073" width="22.7109375" style="59" customWidth="1"/>
    <col min="3074" max="3074" width="15.140625" style="59" customWidth="1"/>
    <col min="3075" max="3075" width="19.7109375" style="59" bestFit="1" customWidth="1"/>
    <col min="3076" max="3076" width="17" style="59" bestFit="1" customWidth="1"/>
    <col min="3077" max="3077" width="9" style="59" customWidth="1"/>
    <col min="3078" max="3079" width="24.5703125" style="59" customWidth="1"/>
    <col min="3080" max="3080" width="13.85546875" style="59" customWidth="1"/>
    <col min="3081" max="3081" width="16.140625" style="59" customWidth="1"/>
    <col min="3082" max="3082" width="14.42578125" style="59" bestFit="1" customWidth="1"/>
    <col min="3083" max="3083" width="16" style="59" bestFit="1" customWidth="1"/>
    <col min="3084" max="3084" width="12.28515625" style="59" bestFit="1" customWidth="1"/>
    <col min="3085" max="3085" width="9" style="59"/>
    <col min="3086" max="3086" width="15.7109375" style="59" bestFit="1" customWidth="1"/>
    <col min="3087" max="3320" width="9" style="59"/>
    <col min="3321" max="3321" width="15.5703125" style="59" customWidth="1"/>
    <col min="3322" max="3324" width="16.28515625" style="59" customWidth="1"/>
    <col min="3325" max="3325" width="12.42578125" style="59" customWidth="1"/>
    <col min="3326" max="3326" width="12.7109375" style="59" customWidth="1"/>
    <col min="3327" max="3327" width="17" style="59" customWidth="1"/>
    <col min="3328" max="3328" width="34" style="59" customWidth="1"/>
    <col min="3329" max="3329" width="22.7109375" style="59" customWidth="1"/>
    <col min="3330" max="3330" width="15.140625" style="59" customWidth="1"/>
    <col min="3331" max="3331" width="19.7109375" style="59" bestFit="1" customWidth="1"/>
    <col min="3332" max="3332" width="17" style="59" bestFit="1" customWidth="1"/>
    <col min="3333" max="3333" width="9" style="59" customWidth="1"/>
    <col min="3334" max="3335" width="24.5703125" style="59" customWidth="1"/>
    <col min="3336" max="3336" width="13.85546875" style="59" customWidth="1"/>
    <col min="3337" max="3337" width="16.140625" style="59" customWidth="1"/>
    <col min="3338" max="3338" width="14.42578125" style="59" bestFit="1" customWidth="1"/>
    <col min="3339" max="3339" width="16" style="59" bestFit="1" customWidth="1"/>
    <col min="3340" max="3340" width="12.28515625" style="59" bestFit="1" customWidth="1"/>
    <col min="3341" max="3341" width="9" style="59"/>
    <col min="3342" max="3342" width="15.7109375" style="59" bestFit="1" customWidth="1"/>
    <col min="3343" max="3576" width="9" style="59"/>
    <col min="3577" max="3577" width="15.5703125" style="59" customWidth="1"/>
    <col min="3578" max="3580" width="16.28515625" style="59" customWidth="1"/>
    <col min="3581" max="3581" width="12.42578125" style="59" customWidth="1"/>
    <col min="3582" max="3582" width="12.7109375" style="59" customWidth="1"/>
    <col min="3583" max="3583" width="17" style="59" customWidth="1"/>
    <col min="3584" max="3584" width="34" style="59" customWidth="1"/>
    <col min="3585" max="3585" width="22.7109375" style="59" customWidth="1"/>
    <col min="3586" max="3586" width="15.140625" style="59" customWidth="1"/>
    <col min="3587" max="3587" width="19.7109375" style="59" bestFit="1" customWidth="1"/>
    <col min="3588" max="3588" width="17" style="59" bestFit="1" customWidth="1"/>
    <col min="3589" max="3589" width="9" style="59" customWidth="1"/>
    <col min="3590" max="3591" width="24.5703125" style="59" customWidth="1"/>
    <col min="3592" max="3592" width="13.85546875" style="59" customWidth="1"/>
    <col min="3593" max="3593" width="16.140625" style="59" customWidth="1"/>
    <col min="3594" max="3594" width="14.42578125" style="59" bestFit="1" customWidth="1"/>
    <col min="3595" max="3595" width="16" style="59" bestFit="1" customWidth="1"/>
    <col min="3596" max="3596" width="12.28515625" style="59" bestFit="1" customWidth="1"/>
    <col min="3597" max="3597" width="9" style="59"/>
    <col min="3598" max="3598" width="15.7109375" style="59" bestFit="1" customWidth="1"/>
    <col min="3599" max="3832" width="9" style="59"/>
    <col min="3833" max="3833" width="15.5703125" style="59" customWidth="1"/>
    <col min="3834" max="3836" width="16.28515625" style="59" customWidth="1"/>
    <col min="3837" max="3837" width="12.42578125" style="59" customWidth="1"/>
    <col min="3838" max="3838" width="12.7109375" style="59" customWidth="1"/>
    <col min="3839" max="3839" width="17" style="59" customWidth="1"/>
    <col min="3840" max="3840" width="34" style="59" customWidth="1"/>
    <col min="3841" max="3841" width="22.7109375" style="59" customWidth="1"/>
    <col min="3842" max="3842" width="15.140625" style="59" customWidth="1"/>
    <col min="3843" max="3843" width="19.7109375" style="59" bestFit="1" customWidth="1"/>
    <col min="3844" max="3844" width="17" style="59" bestFit="1" customWidth="1"/>
    <col min="3845" max="3845" width="9" style="59" customWidth="1"/>
    <col min="3846" max="3847" width="24.5703125" style="59" customWidth="1"/>
    <col min="3848" max="3848" width="13.85546875" style="59" customWidth="1"/>
    <col min="3849" max="3849" width="16.140625" style="59" customWidth="1"/>
    <col min="3850" max="3850" width="14.42578125" style="59" bestFit="1" customWidth="1"/>
    <col min="3851" max="3851" width="16" style="59" bestFit="1" customWidth="1"/>
    <col min="3852" max="3852" width="12.28515625" style="59" bestFit="1" customWidth="1"/>
    <col min="3853" max="3853" width="9" style="59"/>
    <col min="3854" max="3854" width="15.7109375" style="59" bestFit="1" customWidth="1"/>
    <col min="3855" max="4088" width="9" style="59"/>
    <col min="4089" max="4089" width="15.5703125" style="59" customWidth="1"/>
    <col min="4090" max="4092" width="16.28515625" style="59" customWidth="1"/>
    <col min="4093" max="4093" width="12.42578125" style="59" customWidth="1"/>
    <col min="4094" max="4094" width="12.7109375" style="59" customWidth="1"/>
    <col min="4095" max="4095" width="17" style="59" customWidth="1"/>
    <col min="4096" max="4096" width="34" style="59" customWidth="1"/>
    <col min="4097" max="4097" width="22.7109375" style="59" customWidth="1"/>
    <col min="4098" max="4098" width="15.140625" style="59" customWidth="1"/>
    <col min="4099" max="4099" width="19.7109375" style="59" bestFit="1" customWidth="1"/>
    <col min="4100" max="4100" width="17" style="59" bestFit="1" customWidth="1"/>
    <col min="4101" max="4101" width="9" style="59" customWidth="1"/>
    <col min="4102" max="4103" width="24.5703125" style="59" customWidth="1"/>
    <col min="4104" max="4104" width="13.85546875" style="59" customWidth="1"/>
    <col min="4105" max="4105" width="16.140625" style="59" customWidth="1"/>
    <col min="4106" max="4106" width="14.42578125" style="59" bestFit="1" customWidth="1"/>
    <col min="4107" max="4107" width="16" style="59" bestFit="1" customWidth="1"/>
    <col min="4108" max="4108" width="12.28515625" style="59" bestFit="1" customWidth="1"/>
    <col min="4109" max="4109" width="9" style="59"/>
    <col min="4110" max="4110" width="15.7109375" style="59" bestFit="1" customWidth="1"/>
    <col min="4111" max="4344" width="9" style="59"/>
    <col min="4345" max="4345" width="15.5703125" style="59" customWidth="1"/>
    <col min="4346" max="4348" width="16.28515625" style="59" customWidth="1"/>
    <col min="4349" max="4349" width="12.42578125" style="59" customWidth="1"/>
    <col min="4350" max="4350" width="12.7109375" style="59" customWidth="1"/>
    <col min="4351" max="4351" width="17" style="59" customWidth="1"/>
    <col min="4352" max="4352" width="34" style="59" customWidth="1"/>
    <col min="4353" max="4353" width="22.7109375" style="59" customWidth="1"/>
    <col min="4354" max="4354" width="15.140625" style="59" customWidth="1"/>
    <col min="4355" max="4355" width="19.7109375" style="59" bestFit="1" customWidth="1"/>
    <col min="4356" max="4356" width="17" style="59" bestFit="1" customWidth="1"/>
    <col min="4357" max="4357" width="9" style="59" customWidth="1"/>
    <col min="4358" max="4359" width="24.5703125" style="59" customWidth="1"/>
    <col min="4360" max="4360" width="13.85546875" style="59" customWidth="1"/>
    <col min="4361" max="4361" width="16.140625" style="59" customWidth="1"/>
    <col min="4362" max="4362" width="14.42578125" style="59" bestFit="1" customWidth="1"/>
    <col min="4363" max="4363" width="16" style="59" bestFit="1" customWidth="1"/>
    <col min="4364" max="4364" width="12.28515625" style="59" bestFit="1" customWidth="1"/>
    <col min="4365" max="4365" width="9" style="59"/>
    <col min="4366" max="4366" width="15.7109375" style="59" bestFit="1" customWidth="1"/>
    <col min="4367" max="4600" width="9" style="59"/>
    <col min="4601" max="4601" width="15.5703125" style="59" customWidth="1"/>
    <col min="4602" max="4604" width="16.28515625" style="59" customWidth="1"/>
    <col min="4605" max="4605" width="12.42578125" style="59" customWidth="1"/>
    <col min="4606" max="4606" width="12.7109375" style="59" customWidth="1"/>
    <col min="4607" max="4607" width="17" style="59" customWidth="1"/>
    <col min="4608" max="4608" width="34" style="59" customWidth="1"/>
    <col min="4609" max="4609" width="22.7109375" style="59" customWidth="1"/>
    <col min="4610" max="4610" width="15.140625" style="59" customWidth="1"/>
    <col min="4611" max="4611" width="19.7109375" style="59" bestFit="1" customWidth="1"/>
    <col min="4612" max="4612" width="17" style="59" bestFit="1" customWidth="1"/>
    <col min="4613" max="4613" width="9" style="59" customWidth="1"/>
    <col min="4614" max="4615" width="24.5703125" style="59" customWidth="1"/>
    <col min="4616" max="4616" width="13.85546875" style="59" customWidth="1"/>
    <col min="4617" max="4617" width="16.140625" style="59" customWidth="1"/>
    <col min="4618" max="4618" width="14.42578125" style="59" bestFit="1" customWidth="1"/>
    <col min="4619" max="4619" width="16" style="59" bestFit="1" customWidth="1"/>
    <col min="4620" max="4620" width="12.28515625" style="59" bestFit="1" customWidth="1"/>
    <col min="4621" max="4621" width="9" style="59"/>
    <col min="4622" max="4622" width="15.7109375" style="59" bestFit="1" customWidth="1"/>
    <col min="4623" max="4856" width="9" style="59"/>
    <col min="4857" max="4857" width="15.5703125" style="59" customWidth="1"/>
    <col min="4858" max="4860" width="16.28515625" style="59" customWidth="1"/>
    <col min="4861" max="4861" width="12.42578125" style="59" customWidth="1"/>
    <col min="4862" max="4862" width="12.7109375" style="59" customWidth="1"/>
    <col min="4863" max="4863" width="17" style="59" customWidth="1"/>
    <col min="4864" max="4864" width="34" style="59" customWidth="1"/>
    <col min="4865" max="4865" width="22.7109375" style="59" customWidth="1"/>
    <col min="4866" max="4866" width="15.140625" style="59" customWidth="1"/>
    <col min="4867" max="4867" width="19.7109375" style="59" bestFit="1" customWidth="1"/>
    <col min="4868" max="4868" width="17" style="59" bestFit="1" customWidth="1"/>
    <col min="4869" max="4869" width="9" style="59" customWidth="1"/>
    <col min="4870" max="4871" width="24.5703125" style="59" customWidth="1"/>
    <col min="4872" max="4872" width="13.85546875" style="59" customWidth="1"/>
    <col min="4873" max="4873" width="16.140625" style="59" customWidth="1"/>
    <col min="4874" max="4874" width="14.42578125" style="59" bestFit="1" customWidth="1"/>
    <col min="4875" max="4875" width="16" style="59" bestFit="1" customWidth="1"/>
    <col min="4876" max="4876" width="12.28515625" style="59" bestFit="1" customWidth="1"/>
    <col min="4877" max="4877" width="9" style="59"/>
    <col min="4878" max="4878" width="15.7109375" style="59" bestFit="1" customWidth="1"/>
    <col min="4879" max="5112" width="9" style="59"/>
    <col min="5113" max="5113" width="15.5703125" style="59" customWidth="1"/>
    <col min="5114" max="5116" width="16.28515625" style="59" customWidth="1"/>
    <col min="5117" max="5117" width="12.42578125" style="59" customWidth="1"/>
    <col min="5118" max="5118" width="12.7109375" style="59" customWidth="1"/>
    <col min="5119" max="5119" width="17" style="59" customWidth="1"/>
    <col min="5120" max="5120" width="34" style="59" customWidth="1"/>
    <col min="5121" max="5121" width="22.7109375" style="59" customWidth="1"/>
    <col min="5122" max="5122" width="15.140625" style="59" customWidth="1"/>
    <col min="5123" max="5123" width="19.7109375" style="59" bestFit="1" customWidth="1"/>
    <col min="5124" max="5124" width="17" style="59" bestFit="1" customWidth="1"/>
    <col min="5125" max="5125" width="9" style="59" customWidth="1"/>
    <col min="5126" max="5127" width="24.5703125" style="59" customWidth="1"/>
    <col min="5128" max="5128" width="13.85546875" style="59" customWidth="1"/>
    <col min="5129" max="5129" width="16.140625" style="59" customWidth="1"/>
    <col min="5130" max="5130" width="14.42578125" style="59" bestFit="1" customWidth="1"/>
    <col min="5131" max="5131" width="16" style="59" bestFit="1" customWidth="1"/>
    <col min="5132" max="5132" width="12.28515625" style="59" bestFit="1" customWidth="1"/>
    <col min="5133" max="5133" width="9" style="59"/>
    <col min="5134" max="5134" width="15.7109375" style="59" bestFit="1" customWidth="1"/>
    <col min="5135" max="5368" width="9" style="59"/>
    <col min="5369" max="5369" width="15.5703125" style="59" customWidth="1"/>
    <col min="5370" max="5372" width="16.28515625" style="59" customWidth="1"/>
    <col min="5373" max="5373" width="12.42578125" style="59" customWidth="1"/>
    <col min="5374" max="5374" width="12.7109375" style="59" customWidth="1"/>
    <col min="5375" max="5375" width="17" style="59" customWidth="1"/>
    <col min="5376" max="5376" width="34" style="59" customWidth="1"/>
    <col min="5377" max="5377" width="22.7109375" style="59" customWidth="1"/>
    <col min="5378" max="5378" width="15.140625" style="59" customWidth="1"/>
    <col min="5379" max="5379" width="19.7109375" style="59" bestFit="1" customWidth="1"/>
    <col min="5380" max="5380" width="17" style="59" bestFit="1" customWidth="1"/>
    <col min="5381" max="5381" width="9" style="59" customWidth="1"/>
    <col min="5382" max="5383" width="24.5703125" style="59" customWidth="1"/>
    <col min="5384" max="5384" width="13.85546875" style="59" customWidth="1"/>
    <col min="5385" max="5385" width="16.140625" style="59" customWidth="1"/>
    <col min="5386" max="5386" width="14.42578125" style="59" bestFit="1" customWidth="1"/>
    <col min="5387" max="5387" width="16" style="59" bestFit="1" customWidth="1"/>
    <col min="5388" max="5388" width="12.28515625" style="59" bestFit="1" customWidth="1"/>
    <col min="5389" max="5389" width="9" style="59"/>
    <col min="5390" max="5390" width="15.7109375" style="59" bestFit="1" customWidth="1"/>
    <col min="5391" max="5624" width="9" style="59"/>
    <col min="5625" max="5625" width="15.5703125" style="59" customWidth="1"/>
    <col min="5626" max="5628" width="16.28515625" style="59" customWidth="1"/>
    <col min="5629" max="5629" width="12.42578125" style="59" customWidth="1"/>
    <col min="5630" max="5630" width="12.7109375" style="59" customWidth="1"/>
    <col min="5631" max="5631" width="17" style="59" customWidth="1"/>
    <col min="5632" max="5632" width="34" style="59" customWidth="1"/>
    <col min="5633" max="5633" width="22.7109375" style="59" customWidth="1"/>
    <col min="5634" max="5634" width="15.140625" style="59" customWidth="1"/>
    <col min="5635" max="5635" width="19.7109375" style="59" bestFit="1" customWidth="1"/>
    <col min="5636" max="5636" width="17" style="59" bestFit="1" customWidth="1"/>
    <col min="5637" max="5637" width="9" style="59" customWidth="1"/>
    <col min="5638" max="5639" width="24.5703125" style="59" customWidth="1"/>
    <col min="5640" max="5640" width="13.85546875" style="59" customWidth="1"/>
    <col min="5641" max="5641" width="16.140625" style="59" customWidth="1"/>
    <col min="5642" max="5642" width="14.42578125" style="59" bestFit="1" customWidth="1"/>
    <col min="5643" max="5643" width="16" style="59" bestFit="1" customWidth="1"/>
    <col min="5644" max="5644" width="12.28515625" style="59" bestFit="1" customWidth="1"/>
    <col min="5645" max="5645" width="9" style="59"/>
    <col min="5646" max="5646" width="15.7109375" style="59" bestFit="1" customWidth="1"/>
    <col min="5647" max="5880" width="9" style="59"/>
    <col min="5881" max="5881" width="15.5703125" style="59" customWidth="1"/>
    <col min="5882" max="5884" width="16.28515625" style="59" customWidth="1"/>
    <col min="5885" max="5885" width="12.42578125" style="59" customWidth="1"/>
    <col min="5886" max="5886" width="12.7109375" style="59" customWidth="1"/>
    <col min="5887" max="5887" width="17" style="59" customWidth="1"/>
    <col min="5888" max="5888" width="34" style="59" customWidth="1"/>
    <col min="5889" max="5889" width="22.7109375" style="59" customWidth="1"/>
    <col min="5890" max="5890" width="15.140625" style="59" customWidth="1"/>
    <col min="5891" max="5891" width="19.7109375" style="59" bestFit="1" customWidth="1"/>
    <col min="5892" max="5892" width="17" style="59" bestFit="1" customWidth="1"/>
    <col min="5893" max="5893" width="9" style="59" customWidth="1"/>
    <col min="5894" max="5895" width="24.5703125" style="59" customWidth="1"/>
    <col min="5896" max="5896" width="13.85546875" style="59" customWidth="1"/>
    <col min="5897" max="5897" width="16.140625" style="59" customWidth="1"/>
    <col min="5898" max="5898" width="14.42578125" style="59" bestFit="1" customWidth="1"/>
    <col min="5899" max="5899" width="16" style="59" bestFit="1" customWidth="1"/>
    <col min="5900" max="5900" width="12.28515625" style="59" bestFit="1" customWidth="1"/>
    <col min="5901" max="5901" width="9" style="59"/>
    <col min="5902" max="5902" width="15.7109375" style="59" bestFit="1" customWidth="1"/>
    <col min="5903" max="6136" width="9" style="59"/>
    <col min="6137" max="6137" width="15.5703125" style="59" customWidth="1"/>
    <col min="6138" max="6140" width="16.28515625" style="59" customWidth="1"/>
    <col min="6141" max="6141" width="12.42578125" style="59" customWidth="1"/>
    <col min="6142" max="6142" width="12.7109375" style="59" customWidth="1"/>
    <col min="6143" max="6143" width="17" style="59" customWidth="1"/>
    <col min="6144" max="6144" width="34" style="59" customWidth="1"/>
    <col min="6145" max="6145" width="22.7109375" style="59" customWidth="1"/>
    <col min="6146" max="6146" width="15.140625" style="59" customWidth="1"/>
    <col min="6147" max="6147" width="19.7109375" style="59" bestFit="1" customWidth="1"/>
    <col min="6148" max="6148" width="17" style="59" bestFit="1" customWidth="1"/>
    <col min="6149" max="6149" width="9" style="59" customWidth="1"/>
    <col min="6150" max="6151" width="24.5703125" style="59" customWidth="1"/>
    <col min="6152" max="6152" width="13.85546875" style="59" customWidth="1"/>
    <col min="6153" max="6153" width="16.140625" style="59" customWidth="1"/>
    <col min="6154" max="6154" width="14.42578125" style="59" bestFit="1" customWidth="1"/>
    <col min="6155" max="6155" width="16" style="59" bestFit="1" customWidth="1"/>
    <col min="6156" max="6156" width="12.28515625" style="59" bestFit="1" customWidth="1"/>
    <col min="6157" max="6157" width="9" style="59"/>
    <col min="6158" max="6158" width="15.7109375" style="59" bestFit="1" customWidth="1"/>
    <col min="6159" max="6392" width="9" style="59"/>
    <col min="6393" max="6393" width="15.5703125" style="59" customWidth="1"/>
    <col min="6394" max="6396" width="16.28515625" style="59" customWidth="1"/>
    <col min="6397" max="6397" width="12.42578125" style="59" customWidth="1"/>
    <col min="6398" max="6398" width="12.7109375" style="59" customWidth="1"/>
    <col min="6399" max="6399" width="17" style="59" customWidth="1"/>
    <col min="6400" max="6400" width="34" style="59" customWidth="1"/>
    <col min="6401" max="6401" width="22.7109375" style="59" customWidth="1"/>
    <col min="6402" max="6402" width="15.140625" style="59" customWidth="1"/>
    <col min="6403" max="6403" width="19.7109375" style="59" bestFit="1" customWidth="1"/>
    <col min="6404" max="6404" width="17" style="59" bestFit="1" customWidth="1"/>
    <col min="6405" max="6405" width="9" style="59" customWidth="1"/>
    <col min="6406" max="6407" width="24.5703125" style="59" customWidth="1"/>
    <col min="6408" max="6408" width="13.85546875" style="59" customWidth="1"/>
    <col min="6409" max="6409" width="16.140625" style="59" customWidth="1"/>
    <col min="6410" max="6410" width="14.42578125" style="59" bestFit="1" customWidth="1"/>
    <col min="6411" max="6411" width="16" style="59" bestFit="1" customWidth="1"/>
    <col min="6412" max="6412" width="12.28515625" style="59" bestFit="1" customWidth="1"/>
    <col min="6413" max="6413" width="9" style="59"/>
    <col min="6414" max="6414" width="15.7109375" style="59" bestFit="1" customWidth="1"/>
    <col min="6415" max="6648" width="9" style="59"/>
    <col min="6649" max="6649" width="15.5703125" style="59" customWidth="1"/>
    <col min="6650" max="6652" width="16.28515625" style="59" customWidth="1"/>
    <col min="6653" max="6653" width="12.42578125" style="59" customWidth="1"/>
    <col min="6654" max="6654" width="12.7109375" style="59" customWidth="1"/>
    <col min="6655" max="6655" width="17" style="59" customWidth="1"/>
    <col min="6656" max="6656" width="34" style="59" customWidth="1"/>
    <col min="6657" max="6657" width="22.7109375" style="59" customWidth="1"/>
    <col min="6658" max="6658" width="15.140625" style="59" customWidth="1"/>
    <col min="6659" max="6659" width="19.7109375" style="59" bestFit="1" customWidth="1"/>
    <col min="6660" max="6660" width="17" style="59" bestFit="1" customWidth="1"/>
    <col min="6661" max="6661" width="9" style="59" customWidth="1"/>
    <col min="6662" max="6663" width="24.5703125" style="59" customWidth="1"/>
    <col min="6664" max="6664" width="13.85546875" style="59" customWidth="1"/>
    <col min="6665" max="6665" width="16.140625" style="59" customWidth="1"/>
    <col min="6666" max="6666" width="14.42578125" style="59" bestFit="1" customWidth="1"/>
    <col min="6667" max="6667" width="16" style="59" bestFit="1" customWidth="1"/>
    <col min="6668" max="6668" width="12.28515625" style="59" bestFit="1" customWidth="1"/>
    <col min="6669" max="6669" width="9" style="59"/>
    <col min="6670" max="6670" width="15.7109375" style="59" bestFit="1" customWidth="1"/>
    <col min="6671" max="6904" width="9" style="59"/>
    <col min="6905" max="6905" width="15.5703125" style="59" customWidth="1"/>
    <col min="6906" max="6908" width="16.28515625" style="59" customWidth="1"/>
    <col min="6909" max="6909" width="12.42578125" style="59" customWidth="1"/>
    <col min="6910" max="6910" width="12.7109375" style="59" customWidth="1"/>
    <col min="6911" max="6911" width="17" style="59" customWidth="1"/>
    <col min="6912" max="6912" width="34" style="59" customWidth="1"/>
    <col min="6913" max="6913" width="22.7109375" style="59" customWidth="1"/>
    <col min="6914" max="6914" width="15.140625" style="59" customWidth="1"/>
    <col min="6915" max="6915" width="19.7109375" style="59" bestFit="1" customWidth="1"/>
    <col min="6916" max="6916" width="17" style="59" bestFit="1" customWidth="1"/>
    <col min="6917" max="6917" width="9" style="59" customWidth="1"/>
    <col min="6918" max="6919" width="24.5703125" style="59" customWidth="1"/>
    <col min="6920" max="6920" width="13.85546875" style="59" customWidth="1"/>
    <col min="6921" max="6921" width="16.140625" style="59" customWidth="1"/>
    <col min="6922" max="6922" width="14.42578125" style="59" bestFit="1" customWidth="1"/>
    <col min="6923" max="6923" width="16" style="59" bestFit="1" customWidth="1"/>
    <col min="6924" max="6924" width="12.28515625" style="59" bestFit="1" customWidth="1"/>
    <col min="6925" max="6925" width="9" style="59"/>
    <col min="6926" max="6926" width="15.7109375" style="59" bestFit="1" customWidth="1"/>
    <col min="6927" max="7160" width="9" style="59"/>
    <col min="7161" max="7161" width="15.5703125" style="59" customWidth="1"/>
    <col min="7162" max="7164" width="16.28515625" style="59" customWidth="1"/>
    <col min="7165" max="7165" width="12.42578125" style="59" customWidth="1"/>
    <col min="7166" max="7166" width="12.7109375" style="59" customWidth="1"/>
    <col min="7167" max="7167" width="17" style="59" customWidth="1"/>
    <col min="7168" max="7168" width="34" style="59" customWidth="1"/>
    <col min="7169" max="7169" width="22.7109375" style="59" customWidth="1"/>
    <col min="7170" max="7170" width="15.140625" style="59" customWidth="1"/>
    <col min="7171" max="7171" width="19.7109375" style="59" bestFit="1" customWidth="1"/>
    <col min="7172" max="7172" width="17" style="59" bestFit="1" customWidth="1"/>
    <col min="7173" max="7173" width="9" style="59" customWidth="1"/>
    <col min="7174" max="7175" width="24.5703125" style="59" customWidth="1"/>
    <col min="7176" max="7176" width="13.85546875" style="59" customWidth="1"/>
    <col min="7177" max="7177" width="16.140625" style="59" customWidth="1"/>
    <col min="7178" max="7178" width="14.42578125" style="59" bestFit="1" customWidth="1"/>
    <col min="7179" max="7179" width="16" style="59" bestFit="1" customWidth="1"/>
    <col min="7180" max="7180" width="12.28515625" style="59" bestFit="1" customWidth="1"/>
    <col min="7181" max="7181" width="9" style="59"/>
    <col min="7182" max="7182" width="15.7109375" style="59" bestFit="1" customWidth="1"/>
    <col min="7183" max="7416" width="9" style="59"/>
    <col min="7417" max="7417" width="15.5703125" style="59" customWidth="1"/>
    <col min="7418" max="7420" width="16.28515625" style="59" customWidth="1"/>
    <col min="7421" max="7421" width="12.42578125" style="59" customWidth="1"/>
    <col min="7422" max="7422" width="12.7109375" style="59" customWidth="1"/>
    <col min="7423" max="7423" width="17" style="59" customWidth="1"/>
    <col min="7424" max="7424" width="34" style="59" customWidth="1"/>
    <col min="7425" max="7425" width="22.7109375" style="59" customWidth="1"/>
    <col min="7426" max="7426" width="15.140625" style="59" customWidth="1"/>
    <col min="7427" max="7427" width="19.7109375" style="59" bestFit="1" customWidth="1"/>
    <col min="7428" max="7428" width="17" style="59" bestFit="1" customWidth="1"/>
    <col min="7429" max="7429" width="9" style="59" customWidth="1"/>
    <col min="7430" max="7431" width="24.5703125" style="59" customWidth="1"/>
    <col min="7432" max="7432" width="13.85546875" style="59" customWidth="1"/>
    <col min="7433" max="7433" width="16.140625" style="59" customWidth="1"/>
    <col min="7434" max="7434" width="14.42578125" style="59" bestFit="1" customWidth="1"/>
    <col min="7435" max="7435" width="16" style="59" bestFit="1" customWidth="1"/>
    <col min="7436" max="7436" width="12.28515625" style="59" bestFit="1" customWidth="1"/>
    <col min="7437" max="7437" width="9" style="59"/>
    <col min="7438" max="7438" width="15.7109375" style="59" bestFit="1" customWidth="1"/>
    <col min="7439" max="7672" width="9" style="59"/>
    <col min="7673" max="7673" width="15.5703125" style="59" customWidth="1"/>
    <col min="7674" max="7676" width="16.28515625" style="59" customWidth="1"/>
    <col min="7677" max="7677" width="12.42578125" style="59" customWidth="1"/>
    <col min="7678" max="7678" width="12.7109375" style="59" customWidth="1"/>
    <col min="7679" max="7679" width="17" style="59" customWidth="1"/>
    <col min="7680" max="7680" width="34" style="59" customWidth="1"/>
    <col min="7681" max="7681" width="22.7109375" style="59" customWidth="1"/>
    <col min="7682" max="7682" width="15.140625" style="59" customWidth="1"/>
    <col min="7683" max="7683" width="19.7109375" style="59" bestFit="1" customWidth="1"/>
    <col min="7684" max="7684" width="17" style="59" bestFit="1" customWidth="1"/>
    <col min="7685" max="7685" width="9" style="59" customWidth="1"/>
    <col min="7686" max="7687" width="24.5703125" style="59" customWidth="1"/>
    <col min="7688" max="7688" width="13.85546875" style="59" customWidth="1"/>
    <col min="7689" max="7689" width="16.140625" style="59" customWidth="1"/>
    <col min="7690" max="7690" width="14.42578125" style="59" bestFit="1" customWidth="1"/>
    <col min="7691" max="7691" width="16" style="59" bestFit="1" customWidth="1"/>
    <col min="7692" max="7692" width="12.28515625" style="59" bestFit="1" customWidth="1"/>
    <col min="7693" max="7693" width="9" style="59"/>
    <col min="7694" max="7694" width="15.7109375" style="59" bestFit="1" customWidth="1"/>
    <col min="7695" max="7928" width="9" style="59"/>
    <col min="7929" max="7929" width="15.5703125" style="59" customWidth="1"/>
    <col min="7930" max="7932" width="16.28515625" style="59" customWidth="1"/>
    <col min="7933" max="7933" width="12.42578125" style="59" customWidth="1"/>
    <col min="7934" max="7934" width="12.7109375" style="59" customWidth="1"/>
    <col min="7935" max="7935" width="17" style="59" customWidth="1"/>
    <col min="7936" max="7936" width="34" style="59" customWidth="1"/>
    <col min="7937" max="7937" width="22.7109375" style="59" customWidth="1"/>
    <col min="7938" max="7938" width="15.140625" style="59" customWidth="1"/>
    <col min="7939" max="7939" width="19.7109375" style="59" bestFit="1" customWidth="1"/>
    <col min="7940" max="7940" width="17" style="59" bestFit="1" customWidth="1"/>
    <col min="7941" max="7941" width="9" style="59" customWidth="1"/>
    <col min="7942" max="7943" width="24.5703125" style="59" customWidth="1"/>
    <col min="7944" max="7944" width="13.85546875" style="59" customWidth="1"/>
    <col min="7945" max="7945" width="16.140625" style="59" customWidth="1"/>
    <col min="7946" max="7946" width="14.42578125" style="59" bestFit="1" customWidth="1"/>
    <col min="7947" max="7947" width="16" style="59" bestFit="1" customWidth="1"/>
    <col min="7948" max="7948" width="12.28515625" style="59" bestFit="1" customWidth="1"/>
    <col min="7949" max="7949" width="9" style="59"/>
    <col min="7950" max="7950" width="15.7109375" style="59" bestFit="1" customWidth="1"/>
    <col min="7951" max="8184" width="9" style="59"/>
    <col min="8185" max="8185" width="15.5703125" style="59" customWidth="1"/>
    <col min="8186" max="8188" width="16.28515625" style="59" customWidth="1"/>
    <col min="8189" max="8189" width="12.42578125" style="59" customWidth="1"/>
    <col min="8190" max="8190" width="12.7109375" style="59" customWidth="1"/>
    <col min="8191" max="8191" width="17" style="59" customWidth="1"/>
    <col min="8192" max="8192" width="34" style="59" customWidth="1"/>
    <col min="8193" max="8193" width="22.7109375" style="59" customWidth="1"/>
    <col min="8194" max="8194" width="15.140625" style="59" customWidth="1"/>
    <col min="8195" max="8195" width="19.7109375" style="59" bestFit="1" customWidth="1"/>
    <col min="8196" max="8196" width="17" style="59" bestFit="1" customWidth="1"/>
    <col min="8197" max="8197" width="9" style="59" customWidth="1"/>
    <col min="8198" max="8199" width="24.5703125" style="59" customWidth="1"/>
    <col min="8200" max="8200" width="13.85546875" style="59" customWidth="1"/>
    <col min="8201" max="8201" width="16.140625" style="59" customWidth="1"/>
    <col min="8202" max="8202" width="14.42578125" style="59" bestFit="1" customWidth="1"/>
    <col min="8203" max="8203" width="16" style="59" bestFit="1" customWidth="1"/>
    <col min="8204" max="8204" width="12.28515625" style="59" bestFit="1" customWidth="1"/>
    <col min="8205" max="8205" width="9" style="59"/>
    <col min="8206" max="8206" width="15.7109375" style="59" bestFit="1" customWidth="1"/>
    <col min="8207" max="8440" width="9" style="59"/>
    <col min="8441" max="8441" width="15.5703125" style="59" customWidth="1"/>
    <col min="8442" max="8444" width="16.28515625" style="59" customWidth="1"/>
    <col min="8445" max="8445" width="12.42578125" style="59" customWidth="1"/>
    <col min="8446" max="8446" width="12.7109375" style="59" customWidth="1"/>
    <col min="8447" max="8447" width="17" style="59" customWidth="1"/>
    <col min="8448" max="8448" width="34" style="59" customWidth="1"/>
    <col min="8449" max="8449" width="22.7109375" style="59" customWidth="1"/>
    <col min="8450" max="8450" width="15.140625" style="59" customWidth="1"/>
    <col min="8451" max="8451" width="19.7109375" style="59" bestFit="1" customWidth="1"/>
    <col min="8452" max="8452" width="17" style="59" bestFit="1" customWidth="1"/>
    <col min="8453" max="8453" width="9" style="59" customWidth="1"/>
    <col min="8454" max="8455" width="24.5703125" style="59" customWidth="1"/>
    <col min="8456" max="8456" width="13.85546875" style="59" customWidth="1"/>
    <col min="8457" max="8457" width="16.140625" style="59" customWidth="1"/>
    <col min="8458" max="8458" width="14.42578125" style="59" bestFit="1" customWidth="1"/>
    <col min="8459" max="8459" width="16" style="59" bestFit="1" customWidth="1"/>
    <col min="8460" max="8460" width="12.28515625" style="59" bestFit="1" customWidth="1"/>
    <col min="8461" max="8461" width="9" style="59"/>
    <col min="8462" max="8462" width="15.7109375" style="59" bestFit="1" customWidth="1"/>
    <col min="8463" max="8696" width="9" style="59"/>
    <col min="8697" max="8697" width="15.5703125" style="59" customWidth="1"/>
    <col min="8698" max="8700" width="16.28515625" style="59" customWidth="1"/>
    <col min="8701" max="8701" width="12.42578125" style="59" customWidth="1"/>
    <col min="8702" max="8702" width="12.7109375" style="59" customWidth="1"/>
    <col min="8703" max="8703" width="17" style="59" customWidth="1"/>
    <col min="8704" max="8704" width="34" style="59" customWidth="1"/>
    <col min="8705" max="8705" width="22.7109375" style="59" customWidth="1"/>
    <col min="8706" max="8706" width="15.140625" style="59" customWidth="1"/>
    <col min="8707" max="8707" width="19.7109375" style="59" bestFit="1" customWidth="1"/>
    <col min="8708" max="8708" width="17" style="59" bestFit="1" customWidth="1"/>
    <col min="8709" max="8709" width="9" style="59" customWidth="1"/>
    <col min="8710" max="8711" width="24.5703125" style="59" customWidth="1"/>
    <col min="8712" max="8712" width="13.85546875" style="59" customWidth="1"/>
    <col min="8713" max="8713" width="16.140625" style="59" customWidth="1"/>
    <col min="8714" max="8714" width="14.42578125" style="59" bestFit="1" customWidth="1"/>
    <col min="8715" max="8715" width="16" style="59" bestFit="1" customWidth="1"/>
    <col min="8716" max="8716" width="12.28515625" style="59" bestFit="1" customWidth="1"/>
    <col min="8717" max="8717" width="9" style="59"/>
    <col min="8718" max="8718" width="15.7109375" style="59" bestFit="1" customWidth="1"/>
    <col min="8719" max="8952" width="9" style="59"/>
    <col min="8953" max="8953" width="15.5703125" style="59" customWidth="1"/>
    <col min="8954" max="8956" width="16.28515625" style="59" customWidth="1"/>
    <col min="8957" max="8957" width="12.42578125" style="59" customWidth="1"/>
    <col min="8958" max="8958" width="12.7109375" style="59" customWidth="1"/>
    <col min="8959" max="8959" width="17" style="59" customWidth="1"/>
    <col min="8960" max="8960" width="34" style="59" customWidth="1"/>
    <col min="8961" max="8961" width="22.7109375" style="59" customWidth="1"/>
    <col min="8962" max="8962" width="15.140625" style="59" customWidth="1"/>
    <col min="8963" max="8963" width="19.7109375" style="59" bestFit="1" customWidth="1"/>
    <col min="8964" max="8964" width="17" style="59" bestFit="1" customWidth="1"/>
    <col min="8965" max="8965" width="9" style="59" customWidth="1"/>
    <col min="8966" max="8967" width="24.5703125" style="59" customWidth="1"/>
    <col min="8968" max="8968" width="13.85546875" style="59" customWidth="1"/>
    <col min="8969" max="8969" width="16.140625" style="59" customWidth="1"/>
    <col min="8970" max="8970" width="14.42578125" style="59" bestFit="1" customWidth="1"/>
    <col min="8971" max="8971" width="16" style="59" bestFit="1" customWidth="1"/>
    <col min="8972" max="8972" width="12.28515625" style="59" bestFit="1" customWidth="1"/>
    <col min="8973" max="8973" width="9" style="59"/>
    <col min="8974" max="8974" width="15.7109375" style="59" bestFit="1" customWidth="1"/>
    <col min="8975" max="9208" width="9" style="59"/>
    <col min="9209" max="9209" width="15.5703125" style="59" customWidth="1"/>
    <col min="9210" max="9212" width="16.28515625" style="59" customWidth="1"/>
    <col min="9213" max="9213" width="12.42578125" style="59" customWidth="1"/>
    <col min="9214" max="9214" width="12.7109375" style="59" customWidth="1"/>
    <col min="9215" max="9215" width="17" style="59" customWidth="1"/>
    <col min="9216" max="9216" width="34" style="59" customWidth="1"/>
    <col min="9217" max="9217" width="22.7109375" style="59" customWidth="1"/>
    <col min="9218" max="9218" width="15.140625" style="59" customWidth="1"/>
    <col min="9219" max="9219" width="19.7109375" style="59" bestFit="1" customWidth="1"/>
    <col min="9220" max="9220" width="17" style="59" bestFit="1" customWidth="1"/>
    <col min="9221" max="9221" width="9" style="59" customWidth="1"/>
    <col min="9222" max="9223" width="24.5703125" style="59" customWidth="1"/>
    <col min="9224" max="9224" width="13.85546875" style="59" customWidth="1"/>
    <col min="9225" max="9225" width="16.140625" style="59" customWidth="1"/>
    <col min="9226" max="9226" width="14.42578125" style="59" bestFit="1" customWidth="1"/>
    <col min="9227" max="9227" width="16" style="59" bestFit="1" customWidth="1"/>
    <col min="9228" max="9228" width="12.28515625" style="59" bestFit="1" customWidth="1"/>
    <col min="9229" max="9229" width="9" style="59"/>
    <col min="9230" max="9230" width="15.7109375" style="59" bestFit="1" customWidth="1"/>
    <col min="9231" max="9464" width="9" style="59"/>
    <col min="9465" max="9465" width="15.5703125" style="59" customWidth="1"/>
    <col min="9466" max="9468" width="16.28515625" style="59" customWidth="1"/>
    <col min="9469" max="9469" width="12.42578125" style="59" customWidth="1"/>
    <col min="9470" max="9470" width="12.7109375" style="59" customWidth="1"/>
    <col min="9471" max="9471" width="17" style="59" customWidth="1"/>
    <col min="9472" max="9472" width="34" style="59" customWidth="1"/>
    <col min="9473" max="9473" width="22.7109375" style="59" customWidth="1"/>
    <col min="9474" max="9474" width="15.140625" style="59" customWidth="1"/>
    <col min="9475" max="9475" width="19.7109375" style="59" bestFit="1" customWidth="1"/>
    <col min="9476" max="9476" width="17" style="59" bestFit="1" customWidth="1"/>
    <col min="9477" max="9477" width="9" style="59" customWidth="1"/>
    <col min="9478" max="9479" width="24.5703125" style="59" customWidth="1"/>
    <col min="9480" max="9480" width="13.85546875" style="59" customWidth="1"/>
    <col min="9481" max="9481" width="16.140625" style="59" customWidth="1"/>
    <col min="9482" max="9482" width="14.42578125" style="59" bestFit="1" customWidth="1"/>
    <col min="9483" max="9483" width="16" style="59" bestFit="1" customWidth="1"/>
    <col min="9484" max="9484" width="12.28515625" style="59" bestFit="1" customWidth="1"/>
    <col min="9485" max="9485" width="9" style="59"/>
    <col min="9486" max="9486" width="15.7109375" style="59" bestFit="1" customWidth="1"/>
    <col min="9487" max="9720" width="9" style="59"/>
    <col min="9721" max="9721" width="15.5703125" style="59" customWidth="1"/>
    <col min="9722" max="9724" width="16.28515625" style="59" customWidth="1"/>
    <col min="9725" max="9725" width="12.42578125" style="59" customWidth="1"/>
    <col min="9726" max="9726" width="12.7109375" style="59" customWidth="1"/>
    <col min="9727" max="9727" width="17" style="59" customWidth="1"/>
    <col min="9728" max="9728" width="34" style="59" customWidth="1"/>
    <col min="9729" max="9729" width="22.7109375" style="59" customWidth="1"/>
    <col min="9730" max="9730" width="15.140625" style="59" customWidth="1"/>
    <col min="9731" max="9731" width="19.7109375" style="59" bestFit="1" customWidth="1"/>
    <col min="9732" max="9732" width="17" style="59" bestFit="1" customWidth="1"/>
    <col min="9733" max="9733" width="9" style="59" customWidth="1"/>
    <col min="9734" max="9735" width="24.5703125" style="59" customWidth="1"/>
    <col min="9736" max="9736" width="13.85546875" style="59" customWidth="1"/>
    <col min="9737" max="9737" width="16.140625" style="59" customWidth="1"/>
    <col min="9738" max="9738" width="14.42578125" style="59" bestFit="1" customWidth="1"/>
    <col min="9739" max="9739" width="16" style="59" bestFit="1" customWidth="1"/>
    <col min="9740" max="9740" width="12.28515625" style="59" bestFit="1" customWidth="1"/>
    <col min="9741" max="9741" width="9" style="59"/>
    <col min="9742" max="9742" width="15.7109375" style="59" bestFit="1" customWidth="1"/>
    <col min="9743" max="9976" width="9" style="59"/>
    <col min="9977" max="9977" width="15.5703125" style="59" customWidth="1"/>
    <col min="9978" max="9980" width="16.28515625" style="59" customWidth="1"/>
    <col min="9981" max="9981" width="12.42578125" style="59" customWidth="1"/>
    <col min="9982" max="9982" width="12.7109375" style="59" customWidth="1"/>
    <col min="9983" max="9983" width="17" style="59" customWidth="1"/>
    <col min="9984" max="9984" width="34" style="59" customWidth="1"/>
    <col min="9985" max="9985" width="22.7109375" style="59" customWidth="1"/>
    <col min="9986" max="9986" width="15.140625" style="59" customWidth="1"/>
    <col min="9987" max="9987" width="19.7109375" style="59" bestFit="1" customWidth="1"/>
    <col min="9988" max="9988" width="17" style="59" bestFit="1" customWidth="1"/>
    <col min="9989" max="9989" width="9" style="59" customWidth="1"/>
    <col min="9990" max="9991" width="24.5703125" style="59" customWidth="1"/>
    <col min="9992" max="9992" width="13.85546875" style="59" customWidth="1"/>
    <col min="9993" max="9993" width="16.140625" style="59" customWidth="1"/>
    <col min="9994" max="9994" width="14.42578125" style="59" bestFit="1" customWidth="1"/>
    <col min="9995" max="9995" width="16" style="59" bestFit="1" customWidth="1"/>
    <col min="9996" max="9996" width="12.28515625" style="59" bestFit="1" customWidth="1"/>
    <col min="9997" max="9997" width="9" style="59"/>
    <col min="9998" max="9998" width="15.7109375" style="59" bestFit="1" customWidth="1"/>
    <col min="9999" max="10232" width="9" style="59"/>
    <col min="10233" max="10233" width="15.5703125" style="59" customWidth="1"/>
    <col min="10234" max="10236" width="16.28515625" style="59" customWidth="1"/>
    <col min="10237" max="10237" width="12.42578125" style="59" customWidth="1"/>
    <col min="10238" max="10238" width="12.7109375" style="59" customWidth="1"/>
    <col min="10239" max="10239" width="17" style="59" customWidth="1"/>
    <col min="10240" max="10240" width="34" style="59" customWidth="1"/>
    <col min="10241" max="10241" width="22.7109375" style="59" customWidth="1"/>
    <col min="10242" max="10242" width="15.140625" style="59" customWidth="1"/>
    <col min="10243" max="10243" width="19.7109375" style="59" bestFit="1" customWidth="1"/>
    <col min="10244" max="10244" width="17" style="59" bestFit="1" customWidth="1"/>
    <col min="10245" max="10245" width="9" style="59" customWidth="1"/>
    <col min="10246" max="10247" width="24.5703125" style="59" customWidth="1"/>
    <col min="10248" max="10248" width="13.85546875" style="59" customWidth="1"/>
    <col min="10249" max="10249" width="16.140625" style="59" customWidth="1"/>
    <col min="10250" max="10250" width="14.42578125" style="59" bestFit="1" customWidth="1"/>
    <col min="10251" max="10251" width="16" style="59" bestFit="1" customWidth="1"/>
    <col min="10252" max="10252" width="12.28515625" style="59" bestFit="1" customWidth="1"/>
    <col min="10253" max="10253" width="9" style="59"/>
    <col min="10254" max="10254" width="15.7109375" style="59" bestFit="1" customWidth="1"/>
    <col min="10255" max="10488" width="9" style="59"/>
    <col min="10489" max="10489" width="15.5703125" style="59" customWidth="1"/>
    <col min="10490" max="10492" width="16.28515625" style="59" customWidth="1"/>
    <col min="10493" max="10493" width="12.42578125" style="59" customWidth="1"/>
    <col min="10494" max="10494" width="12.7109375" style="59" customWidth="1"/>
    <col min="10495" max="10495" width="17" style="59" customWidth="1"/>
    <col min="10496" max="10496" width="34" style="59" customWidth="1"/>
    <col min="10497" max="10497" width="22.7109375" style="59" customWidth="1"/>
    <col min="10498" max="10498" width="15.140625" style="59" customWidth="1"/>
    <col min="10499" max="10499" width="19.7109375" style="59" bestFit="1" customWidth="1"/>
    <col min="10500" max="10500" width="17" style="59" bestFit="1" customWidth="1"/>
    <col min="10501" max="10501" width="9" style="59" customWidth="1"/>
    <col min="10502" max="10503" width="24.5703125" style="59" customWidth="1"/>
    <col min="10504" max="10504" width="13.85546875" style="59" customWidth="1"/>
    <col min="10505" max="10505" width="16.140625" style="59" customWidth="1"/>
    <col min="10506" max="10506" width="14.42578125" style="59" bestFit="1" customWidth="1"/>
    <col min="10507" max="10507" width="16" style="59" bestFit="1" customWidth="1"/>
    <col min="10508" max="10508" width="12.28515625" style="59" bestFit="1" customWidth="1"/>
    <col min="10509" max="10509" width="9" style="59"/>
    <col min="10510" max="10510" width="15.7109375" style="59" bestFit="1" customWidth="1"/>
    <col min="10511" max="10744" width="9" style="59"/>
    <col min="10745" max="10745" width="15.5703125" style="59" customWidth="1"/>
    <col min="10746" max="10748" width="16.28515625" style="59" customWidth="1"/>
    <col min="10749" max="10749" width="12.42578125" style="59" customWidth="1"/>
    <col min="10750" max="10750" width="12.7109375" style="59" customWidth="1"/>
    <col min="10751" max="10751" width="17" style="59" customWidth="1"/>
    <col min="10752" max="10752" width="34" style="59" customWidth="1"/>
    <col min="10753" max="10753" width="22.7109375" style="59" customWidth="1"/>
    <col min="10754" max="10754" width="15.140625" style="59" customWidth="1"/>
    <col min="10755" max="10755" width="19.7109375" style="59" bestFit="1" customWidth="1"/>
    <col min="10756" max="10756" width="17" style="59" bestFit="1" customWidth="1"/>
    <col min="10757" max="10757" width="9" style="59" customWidth="1"/>
    <col min="10758" max="10759" width="24.5703125" style="59" customWidth="1"/>
    <col min="10760" max="10760" width="13.85546875" style="59" customWidth="1"/>
    <col min="10761" max="10761" width="16.140625" style="59" customWidth="1"/>
    <col min="10762" max="10762" width="14.42578125" style="59" bestFit="1" customWidth="1"/>
    <col min="10763" max="10763" width="16" style="59" bestFit="1" customWidth="1"/>
    <col min="10764" max="10764" width="12.28515625" style="59" bestFit="1" customWidth="1"/>
    <col min="10765" max="10765" width="9" style="59"/>
    <col min="10766" max="10766" width="15.7109375" style="59" bestFit="1" customWidth="1"/>
    <col min="10767" max="11000" width="9" style="59"/>
    <col min="11001" max="11001" width="15.5703125" style="59" customWidth="1"/>
    <col min="11002" max="11004" width="16.28515625" style="59" customWidth="1"/>
    <col min="11005" max="11005" width="12.42578125" style="59" customWidth="1"/>
    <col min="11006" max="11006" width="12.7109375" style="59" customWidth="1"/>
    <col min="11007" max="11007" width="17" style="59" customWidth="1"/>
    <col min="11008" max="11008" width="34" style="59" customWidth="1"/>
    <col min="11009" max="11009" width="22.7109375" style="59" customWidth="1"/>
    <col min="11010" max="11010" width="15.140625" style="59" customWidth="1"/>
    <col min="11011" max="11011" width="19.7109375" style="59" bestFit="1" customWidth="1"/>
    <col min="11012" max="11012" width="17" style="59" bestFit="1" customWidth="1"/>
    <col min="11013" max="11013" width="9" style="59" customWidth="1"/>
    <col min="11014" max="11015" width="24.5703125" style="59" customWidth="1"/>
    <col min="11016" max="11016" width="13.85546875" style="59" customWidth="1"/>
    <col min="11017" max="11017" width="16.140625" style="59" customWidth="1"/>
    <col min="11018" max="11018" width="14.42578125" style="59" bestFit="1" customWidth="1"/>
    <col min="11019" max="11019" width="16" style="59" bestFit="1" customWidth="1"/>
    <col min="11020" max="11020" width="12.28515625" style="59" bestFit="1" customWidth="1"/>
    <col min="11021" max="11021" width="9" style="59"/>
    <col min="11022" max="11022" width="15.7109375" style="59" bestFit="1" customWidth="1"/>
    <col min="11023" max="11256" width="9" style="59"/>
    <col min="11257" max="11257" width="15.5703125" style="59" customWidth="1"/>
    <col min="11258" max="11260" width="16.28515625" style="59" customWidth="1"/>
    <col min="11261" max="11261" width="12.42578125" style="59" customWidth="1"/>
    <col min="11262" max="11262" width="12.7109375" style="59" customWidth="1"/>
    <col min="11263" max="11263" width="17" style="59" customWidth="1"/>
    <col min="11264" max="11264" width="34" style="59" customWidth="1"/>
    <col min="11265" max="11265" width="22.7109375" style="59" customWidth="1"/>
    <col min="11266" max="11266" width="15.140625" style="59" customWidth="1"/>
    <col min="11267" max="11267" width="19.7109375" style="59" bestFit="1" customWidth="1"/>
    <col min="11268" max="11268" width="17" style="59" bestFit="1" customWidth="1"/>
    <col min="11269" max="11269" width="9" style="59" customWidth="1"/>
    <col min="11270" max="11271" width="24.5703125" style="59" customWidth="1"/>
    <col min="11272" max="11272" width="13.85546875" style="59" customWidth="1"/>
    <col min="11273" max="11273" width="16.140625" style="59" customWidth="1"/>
    <col min="11274" max="11274" width="14.42578125" style="59" bestFit="1" customWidth="1"/>
    <col min="11275" max="11275" width="16" style="59" bestFit="1" customWidth="1"/>
    <col min="11276" max="11276" width="12.28515625" style="59" bestFit="1" customWidth="1"/>
    <col min="11277" max="11277" width="9" style="59"/>
    <col min="11278" max="11278" width="15.7109375" style="59" bestFit="1" customWidth="1"/>
    <col min="11279" max="11512" width="9" style="59"/>
    <col min="11513" max="11513" width="15.5703125" style="59" customWidth="1"/>
    <col min="11514" max="11516" width="16.28515625" style="59" customWidth="1"/>
    <col min="11517" max="11517" width="12.42578125" style="59" customWidth="1"/>
    <col min="11518" max="11518" width="12.7109375" style="59" customWidth="1"/>
    <col min="11519" max="11519" width="17" style="59" customWidth="1"/>
    <col min="11520" max="11520" width="34" style="59" customWidth="1"/>
    <col min="11521" max="11521" width="22.7109375" style="59" customWidth="1"/>
    <col min="11522" max="11522" width="15.140625" style="59" customWidth="1"/>
    <col min="11523" max="11523" width="19.7109375" style="59" bestFit="1" customWidth="1"/>
    <col min="11524" max="11524" width="17" style="59" bestFit="1" customWidth="1"/>
    <col min="11525" max="11525" width="9" style="59" customWidth="1"/>
    <col min="11526" max="11527" width="24.5703125" style="59" customWidth="1"/>
    <col min="11528" max="11528" width="13.85546875" style="59" customWidth="1"/>
    <col min="11529" max="11529" width="16.140625" style="59" customWidth="1"/>
    <col min="11530" max="11530" width="14.42578125" style="59" bestFit="1" customWidth="1"/>
    <col min="11531" max="11531" width="16" style="59" bestFit="1" customWidth="1"/>
    <col min="11532" max="11532" width="12.28515625" style="59" bestFit="1" customWidth="1"/>
    <col min="11533" max="11533" width="9" style="59"/>
    <col min="11534" max="11534" width="15.7109375" style="59" bestFit="1" customWidth="1"/>
    <col min="11535" max="11768" width="9" style="59"/>
    <col min="11769" max="11769" width="15.5703125" style="59" customWidth="1"/>
    <col min="11770" max="11772" width="16.28515625" style="59" customWidth="1"/>
    <col min="11773" max="11773" width="12.42578125" style="59" customWidth="1"/>
    <col min="11774" max="11774" width="12.7109375" style="59" customWidth="1"/>
    <col min="11775" max="11775" width="17" style="59" customWidth="1"/>
    <col min="11776" max="11776" width="34" style="59" customWidth="1"/>
    <col min="11777" max="11777" width="22.7109375" style="59" customWidth="1"/>
    <col min="11778" max="11778" width="15.140625" style="59" customWidth="1"/>
    <col min="11779" max="11779" width="19.7109375" style="59" bestFit="1" customWidth="1"/>
    <col min="11780" max="11780" width="17" style="59" bestFit="1" customWidth="1"/>
    <col min="11781" max="11781" width="9" style="59" customWidth="1"/>
    <col min="11782" max="11783" width="24.5703125" style="59" customWidth="1"/>
    <col min="11784" max="11784" width="13.85546875" style="59" customWidth="1"/>
    <col min="11785" max="11785" width="16.140625" style="59" customWidth="1"/>
    <col min="11786" max="11786" width="14.42578125" style="59" bestFit="1" customWidth="1"/>
    <col min="11787" max="11787" width="16" style="59" bestFit="1" customWidth="1"/>
    <col min="11788" max="11788" width="12.28515625" style="59" bestFit="1" customWidth="1"/>
    <col min="11789" max="11789" width="9" style="59"/>
    <col min="11790" max="11790" width="15.7109375" style="59" bestFit="1" customWidth="1"/>
    <col min="11791" max="12024" width="9" style="59"/>
    <col min="12025" max="12025" width="15.5703125" style="59" customWidth="1"/>
    <col min="12026" max="12028" width="16.28515625" style="59" customWidth="1"/>
    <col min="12029" max="12029" width="12.42578125" style="59" customWidth="1"/>
    <col min="12030" max="12030" width="12.7109375" style="59" customWidth="1"/>
    <col min="12031" max="12031" width="17" style="59" customWidth="1"/>
    <col min="12032" max="12032" width="34" style="59" customWidth="1"/>
    <col min="12033" max="12033" width="22.7109375" style="59" customWidth="1"/>
    <col min="12034" max="12034" width="15.140625" style="59" customWidth="1"/>
    <col min="12035" max="12035" width="19.7109375" style="59" bestFit="1" customWidth="1"/>
    <col min="12036" max="12036" width="17" style="59" bestFit="1" customWidth="1"/>
    <col min="12037" max="12037" width="9" style="59" customWidth="1"/>
    <col min="12038" max="12039" width="24.5703125" style="59" customWidth="1"/>
    <col min="12040" max="12040" width="13.85546875" style="59" customWidth="1"/>
    <col min="12041" max="12041" width="16.140625" style="59" customWidth="1"/>
    <col min="12042" max="12042" width="14.42578125" style="59" bestFit="1" customWidth="1"/>
    <col min="12043" max="12043" width="16" style="59" bestFit="1" customWidth="1"/>
    <col min="12044" max="12044" width="12.28515625" style="59" bestFit="1" customWidth="1"/>
    <col min="12045" max="12045" width="9" style="59"/>
    <col min="12046" max="12046" width="15.7109375" style="59" bestFit="1" customWidth="1"/>
    <col min="12047" max="12280" width="9" style="59"/>
    <col min="12281" max="12281" width="15.5703125" style="59" customWidth="1"/>
    <col min="12282" max="12284" width="16.28515625" style="59" customWidth="1"/>
    <col min="12285" max="12285" width="12.42578125" style="59" customWidth="1"/>
    <col min="12286" max="12286" width="12.7109375" style="59" customWidth="1"/>
    <col min="12287" max="12287" width="17" style="59" customWidth="1"/>
    <col min="12288" max="12288" width="34" style="59" customWidth="1"/>
    <col min="12289" max="12289" width="22.7109375" style="59" customWidth="1"/>
    <col min="12290" max="12290" width="15.140625" style="59" customWidth="1"/>
    <col min="12291" max="12291" width="19.7109375" style="59" bestFit="1" customWidth="1"/>
    <col min="12292" max="12292" width="17" style="59" bestFit="1" customWidth="1"/>
    <col min="12293" max="12293" width="9" style="59" customWidth="1"/>
    <col min="12294" max="12295" width="24.5703125" style="59" customWidth="1"/>
    <col min="12296" max="12296" width="13.85546875" style="59" customWidth="1"/>
    <col min="12297" max="12297" width="16.140625" style="59" customWidth="1"/>
    <col min="12298" max="12298" width="14.42578125" style="59" bestFit="1" customWidth="1"/>
    <col min="12299" max="12299" width="16" style="59" bestFit="1" customWidth="1"/>
    <col min="12300" max="12300" width="12.28515625" style="59" bestFit="1" customWidth="1"/>
    <col min="12301" max="12301" width="9" style="59"/>
    <col min="12302" max="12302" width="15.7109375" style="59" bestFit="1" customWidth="1"/>
    <col min="12303" max="12536" width="9" style="59"/>
    <col min="12537" max="12537" width="15.5703125" style="59" customWidth="1"/>
    <col min="12538" max="12540" width="16.28515625" style="59" customWidth="1"/>
    <col min="12541" max="12541" width="12.42578125" style="59" customWidth="1"/>
    <col min="12542" max="12542" width="12.7109375" style="59" customWidth="1"/>
    <col min="12543" max="12543" width="17" style="59" customWidth="1"/>
    <col min="12544" max="12544" width="34" style="59" customWidth="1"/>
    <col min="12545" max="12545" width="22.7109375" style="59" customWidth="1"/>
    <col min="12546" max="12546" width="15.140625" style="59" customWidth="1"/>
    <col min="12547" max="12547" width="19.7109375" style="59" bestFit="1" customWidth="1"/>
    <col min="12548" max="12548" width="17" style="59" bestFit="1" customWidth="1"/>
    <col min="12549" max="12549" width="9" style="59" customWidth="1"/>
    <col min="12550" max="12551" width="24.5703125" style="59" customWidth="1"/>
    <col min="12552" max="12552" width="13.85546875" style="59" customWidth="1"/>
    <col min="12553" max="12553" width="16.140625" style="59" customWidth="1"/>
    <col min="12554" max="12554" width="14.42578125" style="59" bestFit="1" customWidth="1"/>
    <col min="12555" max="12555" width="16" style="59" bestFit="1" customWidth="1"/>
    <col min="12556" max="12556" width="12.28515625" style="59" bestFit="1" customWidth="1"/>
    <col min="12557" max="12557" width="9" style="59"/>
    <col min="12558" max="12558" width="15.7109375" style="59" bestFit="1" customWidth="1"/>
    <col min="12559" max="12792" width="9" style="59"/>
    <col min="12793" max="12793" width="15.5703125" style="59" customWidth="1"/>
    <col min="12794" max="12796" width="16.28515625" style="59" customWidth="1"/>
    <col min="12797" max="12797" width="12.42578125" style="59" customWidth="1"/>
    <col min="12798" max="12798" width="12.7109375" style="59" customWidth="1"/>
    <col min="12799" max="12799" width="17" style="59" customWidth="1"/>
    <col min="12800" max="12800" width="34" style="59" customWidth="1"/>
    <col min="12801" max="12801" width="22.7109375" style="59" customWidth="1"/>
    <col min="12802" max="12802" width="15.140625" style="59" customWidth="1"/>
    <col min="12803" max="12803" width="19.7109375" style="59" bestFit="1" customWidth="1"/>
    <col min="12804" max="12804" width="17" style="59" bestFit="1" customWidth="1"/>
    <col min="12805" max="12805" width="9" style="59" customWidth="1"/>
    <col min="12806" max="12807" width="24.5703125" style="59" customWidth="1"/>
    <col min="12808" max="12808" width="13.85546875" style="59" customWidth="1"/>
    <col min="12809" max="12809" width="16.140625" style="59" customWidth="1"/>
    <col min="12810" max="12810" width="14.42578125" style="59" bestFit="1" customWidth="1"/>
    <col min="12811" max="12811" width="16" style="59" bestFit="1" customWidth="1"/>
    <col min="12812" max="12812" width="12.28515625" style="59" bestFit="1" customWidth="1"/>
    <col min="12813" max="12813" width="9" style="59"/>
    <col min="12814" max="12814" width="15.7109375" style="59" bestFit="1" customWidth="1"/>
    <col min="12815" max="13048" width="9" style="59"/>
    <col min="13049" max="13049" width="15.5703125" style="59" customWidth="1"/>
    <col min="13050" max="13052" width="16.28515625" style="59" customWidth="1"/>
    <col min="13053" max="13053" width="12.42578125" style="59" customWidth="1"/>
    <col min="13054" max="13054" width="12.7109375" style="59" customWidth="1"/>
    <col min="13055" max="13055" width="17" style="59" customWidth="1"/>
    <col min="13056" max="13056" width="34" style="59" customWidth="1"/>
    <col min="13057" max="13057" width="22.7109375" style="59" customWidth="1"/>
    <col min="13058" max="13058" width="15.140625" style="59" customWidth="1"/>
    <col min="13059" max="13059" width="19.7109375" style="59" bestFit="1" customWidth="1"/>
    <col min="13060" max="13060" width="17" style="59" bestFit="1" customWidth="1"/>
    <col min="13061" max="13061" width="9" style="59" customWidth="1"/>
    <col min="13062" max="13063" width="24.5703125" style="59" customWidth="1"/>
    <col min="13064" max="13064" width="13.85546875" style="59" customWidth="1"/>
    <col min="13065" max="13065" width="16.140625" style="59" customWidth="1"/>
    <col min="13066" max="13066" width="14.42578125" style="59" bestFit="1" customWidth="1"/>
    <col min="13067" max="13067" width="16" style="59" bestFit="1" customWidth="1"/>
    <col min="13068" max="13068" width="12.28515625" style="59" bestFit="1" customWidth="1"/>
    <col min="13069" max="13069" width="9" style="59"/>
    <col min="13070" max="13070" width="15.7109375" style="59" bestFit="1" customWidth="1"/>
    <col min="13071" max="13304" width="9" style="59"/>
    <col min="13305" max="13305" width="15.5703125" style="59" customWidth="1"/>
    <col min="13306" max="13308" width="16.28515625" style="59" customWidth="1"/>
    <col min="13309" max="13309" width="12.42578125" style="59" customWidth="1"/>
    <col min="13310" max="13310" width="12.7109375" style="59" customWidth="1"/>
    <col min="13311" max="13311" width="17" style="59" customWidth="1"/>
    <col min="13312" max="13312" width="34" style="59" customWidth="1"/>
    <col min="13313" max="13313" width="22.7109375" style="59" customWidth="1"/>
    <col min="13314" max="13314" width="15.140625" style="59" customWidth="1"/>
    <col min="13315" max="13315" width="19.7109375" style="59" bestFit="1" customWidth="1"/>
    <col min="13316" max="13316" width="17" style="59" bestFit="1" customWidth="1"/>
    <col min="13317" max="13317" width="9" style="59" customWidth="1"/>
    <col min="13318" max="13319" width="24.5703125" style="59" customWidth="1"/>
    <col min="13320" max="13320" width="13.85546875" style="59" customWidth="1"/>
    <col min="13321" max="13321" width="16.140625" style="59" customWidth="1"/>
    <col min="13322" max="13322" width="14.42578125" style="59" bestFit="1" customWidth="1"/>
    <col min="13323" max="13323" width="16" style="59" bestFit="1" customWidth="1"/>
    <col min="13324" max="13324" width="12.28515625" style="59" bestFit="1" customWidth="1"/>
    <col min="13325" max="13325" width="9" style="59"/>
    <col min="13326" max="13326" width="15.7109375" style="59" bestFit="1" customWidth="1"/>
    <col min="13327" max="13560" width="9" style="59"/>
    <col min="13561" max="13561" width="15.5703125" style="59" customWidth="1"/>
    <col min="13562" max="13564" width="16.28515625" style="59" customWidth="1"/>
    <col min="13565" max="13565" width="12.42578125" style="59" customWidth="1"/>
    <col min="13566" max="13566" width="12.7109375" style="59" customWidth="1"/>
    <col min="13567" max="13567" width="17" style="59" customWidth="1"/>
    <col min="13568" max="13568" width="34" style="59" customWidth="1"/>
    <col min="13569" max="13569" width="22.7109375" style="59" customWidth="1"/>
    <col min="13570" max="13570" width="15.140625" style="59" customWidth="1"/>
    <col min="13571" max="13571" width="19.7109375" style="59" bestFit="1" customWidth="1"/>
    <col min="13572" max="13572" width="17" style="59" bestFit="1" customWidth="1"/>
    <col min="13573" max="13573" width="9" style="59" customWidth="1"/>
    <col min="13574" max="13575" width="24.5703125" style="59" customWidth="1"/>
    <col min="13576" max="13576" width="13.85546875" style="59" customWidth="1"/>
    <col min="13577" max="13577" width="16.140625" style="59" customWidth="1"/>
    <col min="13578" max="13578" width="14.42578125" style="59" bestFit="1" customWidth="1"/>
    <col min="13579" max="13579" width="16" style="59" bestFit="1" customWidth="1"/>
    <col min="13580" max="13580" width="12.28515625" style="59" bestFit="1" customWidth="1"/>
    <col min="13581" max="13581" width="9" style="59"/>
    <col min="13582" max="13582" width="15.7109375" style="59" bestFit="1" customWidth="1"/>
    <col min="13583" max="13816" width="9" style="59"/>
    <col min="13817" max="13817" width="15.5703125" style="59" customWidth="1"/>
    <col min="13818" max="13820" width="16.28515625" style="59" customWidth="1"/>
    <col min="13821" max="13821" width="12.42578125" style="59" customWidth="1"/>
    <col min="13822" max="13822" width="12.7109375" style="59" customWidth="1"/>
    <col min="13823" max="13823" width="17" style="59" customWidth="1"/>
    <col min="13824" max="13824" width="34" style="59" customWidth="1"/>
    <col min="13825" max="13825" width="22.7109375" style="59" customWidth="1"/>
    <col min="13826" max="13826" width="15.140625" style="59" customWidth="1"/>
    <col min="13827" max="13827" width="19.7109375" style="59" bestFit="1" customWidth="1"/>
    <col min="13828" max="13828" width="17" style="59" bestFit="1" customWidth="1"/>
    <col min="13829" max="13829" width="9" style="59" customWidth="1"/>
    <col min="13830" max="13831" width="24.5703125" style="59" customWidth="1"/>
    <col min="13832" max="13832" width="13.85546875" style="59" customWidth="1"/>
    <col min="13833" max="13833" width="16.140625" style="59" customWidth="1"/>
    <col min="13834" max="13834" width="14.42578125" style="59" bestFit="1" customWidth="1"/>
    <col min="13835" max="13835" width="16" style="59" bestFit="1" customWidth="1"/>
    <col min="13836" max="13836" width="12.28515625" style="59" bestFit="1" customWidth="1"/>
    <col min="13837" max="13837" width="9" style="59"/>
    <col min="13838" max="13838" width="15.7109375" style="59" bestFit="1" customWidth="1"/>
    <col min="13839" max="14072" width="9" style="59"/>
    <col min="14073" max="14073" width="15.5703125" style="59" customWidth="1"/>
    <col min="14074" max="14076" width="16.28515625" style="59" customWidth="1"/>
    <col min="14077" max="14077" width="12.42578125" style="59" customWidth="1"/>
    <col min="14078" max="14078" width="12.7109375" style="59" customWidth="1"/>
    <col min="14079" max="14079" width="17" style="59" customWidth="1"/>
    <col min="14080" max="14080" width="34" style="59" customWidth="1"/>
    <col min="14081" max="14081" width="22.7109375" style="59" customWidth="1"/>
    <col min="14082" max="14082" width="15.140625" style="59" customWidth="1"/>
    <col min="14083" max="14083" width="19.7109375" style="59" bestFit="1" customWidth="1"/>
    <col min="14084" max="14084" width="17" style="59" bestFit="1" customWidth="1"/>
    <col min="14085" max="14085" width="9" style="59" customWidth="1"/>
    <col min="14086" max="14087" width="24.5703125" style="59" customWidth="1"/>
    <col min="14088" max="14088" width="13.85546875" style="59" customWidth="1"/>
    <col min="14089" max="14089" width="16.140625" style="59" customWidth="1"/>
    <col min="14090" max="14090" width="14.42578125" style="59" bestFit="1" customWidth="1"/>
    <col min="14091" max="14091" width="16" style="59" bestFit="1" customWidth="1"/>
    <col min="14092" max="14092" width="12.28515625" style="59" bestFit="1" customWidth="1"/>
    <col min="14093" max="14093" width="9" style="59"/>
    <col min="14094" max="14094" width="15.7109375" style="59" bestFit="1" customWidth="1"/>
    <col min="14095" max="14328" width="9" style="59"/>
    <col min="14329" max="14329" width="15.5703125" style="59" customWidth="1"/>
    <col min="14330" max="14332" width="16.28515625" style="59" customWidth="1"/>
    <col min="14333" max="14333" width="12.42578125" style="59" customWidth="1"/>
    <col min="14334" max="14334" width="12.7109375" style="59" customWidth="1"/>
    <col min="14335" max="14335" width="17" style="59" customWidth="1"/>
    <col min="14336" max="14336" width="34" style="59" customWidth="1"/>
    <col min="14337" max="14337" width="22.7109375" style="59" customWidth="1"/>
    <col min="14338" max="14338" width="15.140625" style="59" customWidth="1"/>
    <col min="14339" max="14339" width="19.7109375" style="59" bestFit="1" customWidth="1"/>
    <col min="14340" max="14340" width="17" style="59" bestFit="1" customWidth="1"/>
    <col min="14341" max="14341" width="9" style="59" customWidth="1"/>
    <col min="14342" max="14343" width="24.5703125" style="59" customWidth="1"/>
    <col min="14344" max="14344" width="13.85546875" style="59" customWidth="1"/>
    <col min="14345" max="14345" width="16.140625" style="59" customWidth="1"/>
    <col min="14346" max="14346" width="14.42578125" style="59" bestFit="1" customWidth="1"/>
    <col min="14347" max="14347" width="16" style="59" bestFit="1" customWidth="1"/>
    <col min="14348" max="14348" width="12.28515625" style="59" bestFit="1" customWidth="1"/>
    <col min="14349" max="14349" width="9" style="59"/>
    <col min="14350" max="14350" width="15.7109375" style="59" bestFit="1" customWidth="1"/>
    <col min="14351" max="14584" width="9" style="59"/>
    <col min="14585" max="14585" width="15.5703125" style="59" customWidth="1"/>
    <col min="14586" max="14588" width="16.28515625" style="59" customWidth="1"/>
    <col min="14589" max="14589" width="12.42578125" style="59" customWidth="1"/>
    <col min="14590" max="14590" width="12.7109375" style="59" customWidth="1"/>
    <col min="14591" max="14591" width="17" style="59" customWidth="1"/>
    <col min="14592" max="14592" width="34" style="59" customWidth="1"/>
    <col min="14593" max="14593" width="22.7109375" style="59" customWidth="1"/>
    <col min="14594" max="14594" width="15.140625" style="59" customWidth="1"/>
    <col min="14595" max="14595" width="19.7109375" style="59" bestFit="1" customWidth="1"/>
    <col min="14596" max="14596" width="17" style="59" bestFit="1" customWidth="1"/>
    <col min="14597" max="14597" width="9" style="59" customWidth="1"/>
    <col min="14598" max="14599" width="24.5703125" style="59" customWidth="1"/>
    <col min="14600" max="14600" width="13.85546875" style="59" customWidth="1"/>
    <col min="14601" max="14601" width="16.140625" style="59" customWidth="1"/>
    <col min="14602" max="14602" width="14.42578125" style="59" bestFit="1" customWidth="1"/>
    <col min="14603" max="14603" width="16" style="59" bestFit="1" customWidth="1"/>
    <col min="14604" max="14604" width="12.28515625" style="59" bestFit="1" customWidth="1"/>
    <col min="14605" max="14605" width="9" style="59"/>
    <col min="14606" max="14606" width="15.7109375" style="59" bestFit="1" customWidth="1"/>
    <col min="14607" max="14840" width="9" style="59"/>
    <col min="14841" max="14841" width="15.5703125" style="59" customWidth="1"/>
    <col min="14842" max="14844" width="16.28515625" style="59" customWidth="1"/>
    <col min="14845" max="14845" width="12.42578125" style="59" customWidth="1"/>
    <col min="14846" max="14846" width="12.7109375" style="59" customWidth="1"/>
    <col min="14847" max="14847" width="17" style="59" customWidth="1"/>
    <col min="14848" max="14848" width="34" style="59" customWidth="1"/>
    <col min="14849" max="14849" width="22.7109375" style="59" customWidth="1"/>
    <col min="14850" max="14850" width="15.140625" style="59" customWidth="1"/>
    <col min="14851" max="14851" width="19.7109375" style="59" bestFit="1" customWidth="1"/>
    <col min="14852" max="14852" width="17" style="59" bestFit="1" customWidth="1"/>
    <col min="14853" max="14853" width="9" style="59" customWidth="1"/>
    <col min="14854" max="14855" width="24.5703125" style="59" customWidth="1"/>
    <col min="14856" max="14856" width="13.85546875" style="59" customWidth="1"/>
    <col min="14857" max="14857" width="16.140625" style="59" customWidth="1"/>
    <col min="14858" max="14858" width="14.42578125" style="59" bestFit="1" customWidth="1"/>
    <col min="14859" max="14859" width="16" style="59" bestFit="1" customWidth="1"/>
    <col min="14860" max="14860" width="12.28515625" style="59" bestFit="1" customWidth="1"/>
    <col min="14861" max="14861" width="9" style="59"/>
    <col min="14862" max="14862" width="15.7109375" style="59" bestFit="1" customWidth="1"/>
    <col min="14863" max="15096" width="9" style="59"/>
    <col min="15097" max="15097" width="15.5703125" style="59" customWidth="1"/>
    <col min="15098" max="15100" width="16.28515625" style="59" customWidth="1"/>
    <col min="15101" max="15101" width="12.42578125" style="59" customWidth="1"/>
    <col min="15102" max="15102" width="12.7109375" style="59" customWidth="1"/>
    <col min="15103" max="15103" width="17" style="59" customWidth="1"/>
    <col min="15104" max="15104" width="34" style="59" customWidth="1"/>
    <col min="15105" max="15105" width="22.7109375" style="59" customWidth="1"/>
    <col min="15106" max="15106" width="15.140625" style="59" customWidth="1"/>
    <col min="15107" max="15107" width="19.7109375" style="59" bestFit="1" customWidth="1"/>
    <col min="15108" max="15108" width="17" style="59" bestFit="1" customWidth="1"/>
    <col min="15109" max="15109" width="9" style="59" customWidth="1"/>
    <col min="15110" max="15111" width="24.5703125" style="59" customWidth="1"/>
    <col min="15112" max="15112" width="13.85546875" style="59" customWidth="1"/>
    <col min="15113" max="15113" width="16.140625" style="59" customWidth="1"/>
    <col min="15114" max="15114" width="14.42578125" style="59" bestFit="1" customWidth="1"/>
    <col min="15115" max="15115" width="16" style="59" bestFit="1" customWidth="1"/>
    <col min="15116" max="15116" width="12.28515625" style="59" bestFit="1" customWidth="1"/>
    <col min="15117" max="15117" width="9" style="59"/>
    <col min="15118" max="15118" width="15.7109375" style="59" bestFit="1" customWidth="1"/>
    <col min="15119" max="15352" width="9" style="59"/>
    <col min="15353" max="15353" width="15.5703125" style="59" customWidth="1"/>
    <col min="15354" max="15356" width="16.28515625" style="59" customWidth="1"/>
    <col min="15357" max="15357" width="12.42578125" style="59" customWidth="1"/>
    <col min="15358" max="15358" width="12.7109375" style="59" customWidth="1"/>
    <col min="15359" max="15359" width="17" style="59" customWidth="1"/>
    <col min="15360" max="15360" width="34" style="59" customWidth="1"/>
    <col min="15361" max="15361" width="22.7109375" style="59" customWidth="1"/>
    <col min="15362" max="15362" width="15.140625" style="59" customWidth="1"/>
    <col min="15363" max="15363" width="19.7109375" style="59" bestFit="1" customWidth="1"/>
    <col min="15364" max="15364" width="17" style="59" bestFit="1" customWidth="1"/>
    <col min="15365" max="15365" width="9" style="59" customWidth="1"/>
    <col min="15366" max="15367" width="24.5703125" style="59" customWidth="1"/>
    <col min="15368" max="15368" width="13.85546875" style="59" customWidth="1"/>
    <col min="15369" max="15369" width="16.140625" style="59" customWidth="1"/>
    <col min="15370" max="15370" width="14.42578125" style="59" bestFit="1" customWidth="1"/>
    <col min="15371" max="15371" width="16" style="59" bestFit="1" customWidth="1"/>
    <col min="15372" max="15372" width="12.28515625" style="59" bestFit="1" customWidth="1"/>
    <col min="15373" max="15373" width="9" style="59"/>
    <col min="15374" max="15374" width="15.7109375" style="59" bestFit="1" customWidth="1"/>
    <col min="15375" max="15608" width="9" style="59"/>
    <col min="15609" max="15609" width="15.5703125" style="59" customWidth="1"/>
    <col min="15610" max="15612" width="16.28515625" style="59" customWidth="1"/>
    <col min="15613" max="15613" width="12.42578125" style="59" customWidth="1"/>
    <col min="15614" max="15614" width="12.7109375" style="59" customWidth="1"/>
    <col min="15615" max="15615" width="17" style="59" customWidth="1"/>
    <col min="15616" max="15616" width="34" style="59" customWidth="1"/>
    <col min="15617" max="15617" width="22.7109375" style="59" customWidth="1"/>
    <col min="15618" max="15618" width="15.140625" style="59" customWidth="1"/>
    <col min="15619" max="15619" width="19.7109375" style="59" bestFit="1" customWidth="1"/>
    <col min="15620" max="15620" width="17" style="59" bestFit="1" customWidth="1"/>
    <col min="15621" max="15621" width="9" style="59" customWidth="1"/>
    <col min="15622" max="15623" width="24.5703125" style="59" customWidth="1"/>
    <col min="15624" max="15624" width="13.85546875" style="59" customWidth="1"/>
    <col min="15625" max="15625" width="16.140625" style="59" customWidth="1"/>
    <col min="15626" max="15626" width="14.42578125" style="59" bestFit="1" customWidth="1"/>
    <col min="15627" max="15627" width="16" style="59" bestFit="1" customWidth="1"/>
    <col min="15628" max="15628" width="12.28515625" style="59" bestFit="1" customWidth="1"/>
    <col min="15629" max="15629" width="9" style="59"/>
    <col min="15630" max="15630" width="15.7109375" style="59" bestFit="1" customWidth="1"/>
    <col min="15631" max="15864" width="9" style="59"/>
    <col min="15865" max="15865" width="15.5703125" style="59" customWidth="1"/>
    <col min="15866" max="15868" width="16.28515625" style="59" customWidth="1"/>
    <col min="15869" max="15869" width="12.42578125" style="59" customWidth="1"/>
    <col min="15870" max="15870" width="12.7109375" style="59" customWidth="1"/>
    <col min="15871" max="15871" width="17" style="59" customWidth="1"/>
    <col min="15872" max="15872" width="34" style="59" customWidth="1"/>
    <col min="15873" max="15873" width="22.7109375" style="59" customWidth="1"/>
    <col min="15874" max="15874" width="15.140625" style="59" customWidth="1"/>
    <col min="15875" max="15875" width="19.7109375" style="59" bestFit="1" customWidth="1"/>
    <col min="15876" max="15876" width="17" style="59" bestFit="1" customWidth="1"/>
    <col min="15877" max="15877" width="9" style="59" customWidth="1"/>
    <col min="15878" max="15879" width="24.5703125" style="59" customWidth="1"/>
    <col min="15880" max="15880" width="13.85546875" style="59" customWidth="1"/>
    <col min="15881" max="15881" width="16.140625" style="59" customWidth="1"/>
    <col min="15882" max="15882" width="14.42578125" style="59" bestFit="1" customWidth="1"/>
    <col min="15883" max="15883" width="16" style="59" bestFit="1" customWidth="1"/>
    <col min="15884" max="15884" width="12.28515625" style="59" bestFit="1" customWidth="1"/>
    <col min="15885" max="15885" width="9" style="59"/>
    <col min="15886" max="15886" width="15.7109375" style="59" bestFit="1" customWidth="1"/>
    <col min="15887" max="16120" width="9" style="59"/>
    <col min="16121" max="16121" width="15.5703125" style="59" customWidth="1"/>
    <col min="16122" max="16124" width="16.28515625" style="59" customWidth="1"/>
    <col min="16125" max="16125" width="12.42578125" style="59" customWidth="1"/>
    <col min="16126" max="16126" width="12.7109375" style="59" customWidth="1"/>
    <col min="16127" max="16127" width="17" style="59" customWidth="1"/>
    <col min="16128" max="16128" width="34" style="59" customWidth="1"/>
    <col min="16129" max="16129" width="22.7109375" style="59" customWidth="1"/>
    <col min="16130" max="16130" width="15.140625" style="59" customWidth="1"/>
    <col min="16131" max="16131" width="19.7109375" style="59" bestFit="1" customWidth="1"/>
    <col min="16132" max="16132" width="17" style="59" bestFit="1" customWidth="1"/>
    <col min="16133" max="16133" width="9" style="59" customWidth="1"/>
    <col min="16134" max="16135" width="24.5703125" style="59" customWidth="1"/>
    <col min="16136" max="16136" width="13.85546875" style="59" customWidth="1"/>
    <col min="16137" max="16137" width="16.140625" style="59" customWidth="1"/>
    <col min="16138" max="16138" width="14.42578125" style="59" bestFit="1" customWidth="1"/>
    <col min="16139" max="16139" width="16" style="59" bestFit="1" customWidth="1"/>
    <col min="16140" max="16140" width="12.28515625" style="59" bestFit="1" customWidth="1"/>
    <col min="16141" max="16141" width="9" style="59"/>
    <col min="16142" max="16142" width="15.7109375" style="59" bestFit="1" customWidth="1"/>
    <col min="16143" max="16384" width="9" style="59"/>
  </cols>
  <sheetData>
    <row r="1" spans="1:28" s="35" customFormat="1" x14ac:dyDescent="0.3"/>
    <row r="2" spans="1:28" s="35" customFormat="1" ht="16.5" customHeight="1" x14ac:dyDescent="0.55000000000000004">
      <c r="M2" s="34"/>
      <c r="N2" s="34"/>
      <c r="O2" s="36"/>
      <c r="P2" s="37"/>
      <c r="Q2" s="37"/>
      <c r="R2" s="38"/>
      <c r="S2" s="38"/>
      <c r="T2" s="37"/>
      <c r="U2" s="39"/>
    </row>
    <row r="3" spans="1:28" s="35" customFormat="1" x14ac:dyDescent="0.3">
      <c r="I3" s="40"/>
      <c r="J3" s="40"/>
      <c r="K3" s="40"/>
      <c r="L3" s="40"/>
      <c r="M3" s="40"/>
      <c r="N3" s="40"/>
      <c r="O3" s="40"/>
      <c r="P3" s="40"/>
      <c r="Q3" s="37"/>
      <c r="R3" s="38"/>
      <c r="S3" s="40"/>
      <c r="T3" s="41"/>
      <c r="U3" s="42"/>
      <c r="V3" s="43"/>
    </row>
    <row r="4" spans="1:28" s="35" customFormat="1" ht="33" x14ac:dyDescent="0.6">
      <c r="I4" s="112" t="s">
        <v>69</v>
      </c>
      <c r="J4" s="34"/>
      <c r="K4" s="34"/>
      <c r="L4" s="112" t="str">
        <f>+Carga!C4&amp;" - VDF B"</f>
        <v>MIS XV - VDF B</v>
      </c>
      <c r="M4" s="40"/>
      <c r="N4" s="40"/>
      <c r="O4" s="40"/>
      <c r="P4" s="40"/>
      <c r="Q4" s="37"/>
      <c r="R4" s="38"/>
      <c r="S4" s="40"/>
      <c r="T4" s="41"/>
    </row>
    <row r="5" spans="1:28" s="35" customFormat="1" x14ac:dyDescent="0.3">
      <c r="F5" s="44" t="s">
        <v>32</v>
      </c>
      <c r="G5" s="89">
        <f>+Carga!C9</f>
        <v>3677569</v>
      </c>
      <c r="O5" s="40"/>
      <c r="P5" s="45" t="s">
        <v>46</v>
      </c>
      <c r="Q5" s="46">
        <f>+J11</f>
        <v>44061</v>
      </c>
      <c r="R5" s="38"/>
      <c r="S5" s="40"/>
      <c r="T5" s="41"/>
    </row>
    <row r="6" spans="1:28" s="35" customFormat="1" x14ac:dyDescent="0.3">
      <c r="I6" s="44" t="s">
        <v>48</v>
      </c>
      <c r="J6" s="89" t="str">
        <f>+Carga!H9</f>
        <v>A-sf(arg)</v>
      </c>
      <c r="L6" s="95" t="s">
        <v>63</v>
      </c>
      <c r="M6" s="135">
        <f>'Calculadora VDFA'!M6</f>
        <v>0.2969</v>
      </c>
      <c r="O6" s="40"/>
      <c r="P6" s="48"/>
      <c r="Q6" s="48"/>
      <c r="R6" s="48"/>
      <c r="S6" s="40"/>
      <c r="T6" s="41"/>
    </row>
    <row r="7" spans="1:28" s="35" customFormat="1" x14ac:dyDescent="0.3">
      <c r="I7" s="44" t="s">
        <v>8</v>
      </c>
      <c r="J7" s="90">
        <f>+Carga!D9</f>
        <v>0.31</v>
      </c>
      <c r="L7" s="95" t="s">
        <v>67</v>
      </c>
      <c r="M7" s="122">
        <v>0.34499999999999997</v>
      </c>
      <c r="N7" s="119" t="s">
        <v>73</v>
      </c>
      <c r="O7" s="49"/>
      <c r="P7" s="40"/>
      <c r="Q7" s="50"/>
      <c r="R7" s="38"/>
      <c r="S7" s="40"/>
      <c r="T7" s="40"/>
      <c r="U7" s="39"/>
    </row>
    <row r="8" spans="1:28" s="35" customFormat="1" x14ac:dyDescent="0.3">
      <c r="I8" s="44" t="s">
        <v>10</v>
      </c>
      <c r="J8" s="90">
        <f>+Carga!F9</f>
        <v>0.41</v>
      </c>
      <c r="L8" s="52" t="s">
        <v>72</v>
      </c>
      <c r="M8" s="116">
        <f>(((1+M7)^(30/365))-1)*365/30</f>
        <v>0.30003375885409278</v>
      </c>
      <c r="N8" s="119" t="s">
        <v>73</v>
      </c>
      <c r="O8" s="51"/>
      <c r="P8" s="40"/>
      <c r="Q8" s="50"/>
      <c r="R8" s="38"/>
      <c r="S8" s="40"/>
      <c r="T8" s="40"/>
      <c r="V8" s="110"/>
    </row>
    <row r="9" spans="1:28" s="35" customFormat="1" x14ac:dyDescent="0.3">
      <c r="I9" s="52" t="s">
        <v>9</v>
      </c>
      <c r="J9" s="91">
        <f>+Carga!E9*10000</f>
        <v>300</v>
      </c>
      <c r="L9" s="117" t="s">
        <v>65</v>
      </c>
      <c r="M9" s="118">
        <f>(XNPV(M7,AA17:AA19,W17:W19)/AB17)*100</f>
        <v>96.723155971906863</v>
      </c>
      <c r="O9" s="40"/>
      <c r="P9" s="47" t="s">
        <v>64</v>
      </c>
      <c r="Q9" s="53">
        <f>+Q54</f>
        <v>3607988.4070479423</v>
      </c>
      <c r="R9" s="38"/>
      <c r="S9" s="40"/>
      <c r="T9" s="40"/>
      <c r="V9" s="109"/>
    </row>
    <row r="10" spans="1:28" s="35" customFormat="1" x14ac:dyDescent="0.3">
      <c r="F10" s="44" t="s">
        <v>34</v>
      </c>
      <c r="G10" s="88">
        <f>+Carga!F5</f>
        <v>44043</v>
      </c>
      <c r="O10" s="40"/>
      <c r="P10" s="54"/>
      <c r="Q10" s="55"/>
      <c r="R10" s="38"/>
      <c r="S10" s="40"/>
      <c r="U10" s="56"/>
      <c r="V10" s="109"/>
    </row>
    <row r="11" spans="1:28" s="35" customFormat="1" x14ac:dyDescent="0.3">
      <c r="I11" s="44" t="s">
        <v>33</v>
      </c>
      <c r="J11" s="92">
        <f>+'Flujos de fondo MIN'!B4</f>
        <v>44061</v>
      </c>
      <c r="L11" s="52" t="s">
        <v>75</v>
      </c>
      <c r="M11" s="120">
        <f>XIRR(M17:M53,I17:I53)</f>
        <v>0.36217209696769725</v>
      </c>
      <c r="N11" s="119" t="s">
        <v>74</v>
      </c>
      <c r="O11" s="40"/>
      <c r="P11" s="40"/>
      <c r="Q11" s="55"/>
      <c r="R11" s="57"/>
      <c r="T11" s="40"/>
    </row>
    <row r="12" spans="1:28" s="35" customFormat="1" x14ac:dyDescent="0.3">
      <c r="I12" s="44" t="s">
        <v>66</v>
      </c>
      <c r="J12" s="93">
        <f>+R56</f>
        <v>13.633378474216077</v>
      </c>
      <c r="L12" s="52" t="s">
        <v>76</v>
      </c>
      <c r="M12" s="120">
        <f>(((1+M11)^(30/365))-1)*365/30</f>
        <v>0.31303993546342512</v>
      </c>
      <c r="N12" s="119" t="s">
        <v>74</v>
      </c>
      <c r="O12" s="40"/>
      <c r="P12" s="58"/>
      <c r="Q12" s="37"/>
      <c r="R12" s="38"/>
      <c r="S12" s="40"/>
      <c r="T12" s="40"/>
    </row>
    <row r="13" spans="1:28" x14ac:dyDescent="0.3">
      <c r="C13" s="35"/>
      <c r="E13" s="60"/>
      <c r="F13" s="60"/>
      <c r="L13" s="123" t="s">
        <v>77</v>
      </c>
      <c r="M13" s="124">
        <f>(M12-M6)*10000</f>
        <v>161.39935463425127</v>
      </c>
      <c r="Q13" s="61"/>
      <c r="S13" s="62"/>
      <c r="U13" s="35"/>
      <c r="W13" s="114" t="s">
        <v>71</v>
      </c>
    </row>
    <row r="14" spans="1:28" ht="17.25" thickBot="1" x14ac:dyDescent="0.35">
      <c r="D14" s="63"/>
      <c r="M14" s="125"/>
      <c r="S14" s="35"/>
      <c r="T14" s="35"/>
      <c r="U14" s="35"/>
    </row>
    <row r="15" spans="1:28" ht="17.25" thickBot="1" x14ac:dyDescent="0.35">
      <c r="A15" s="144" t="s">
        <v>35</v>
      </c>
      <c r="B15" s="146" t="s">
        <v>36</v>
      </c>
      <c r="C15" s="147"/>
      <c r="D15" s="147"/>
      <c r="E15" s="147"/>
      <c r="F15" s="147"/>
      <c r="G15" s="148"/>
      <c r="H15" s="64"/>
      <c r="I15" s="149" t="s">
        <v>13</v>
      </c>
      <c r="J15" s="149"/>
      <c r="K15" s="149"/>
      <c r="L15" s="149"/>
      <c r="M15" s="149"/>
      <c r="N15" s="149"/>
      <c r="P15" s="65"/>
      <c r="U15" s="35"/>
      <c r="W15" s="140" t="s">
        <v>13</v>
      </c>
      <c r="X15" s="141"/>
      <c r="Y15" s="141"/>
      <c r="Z15" s="141"/>
      <c r="AA15" s="141"/>
      <c r="AB15" s="142"/>
    </row>
    <row r="16" spans="1:28" ht="17.25" thickBot="1" x14ac:dyDescent="0.35">
      <c r="A16" s="145"/>
      <c r="B16" s="66" t="s">
        <v>37</v>
      </c>
      <c r="C16" s="64" t="s">
        <v>38</v>
      </c>
      <c r="D16" s="150" t="s">
        <v>39</v>
      </c>
      <c r="E16" s="152" t="s">
        <v>40</v>
      </c>
      <c r="F16" s="154" t="s">
        <v>41</v>
      </c>
      <c r="G16" s="67" t="s">
        <v>42</v>
      </c>
      <c r="H16" s="64"/>
      <c r="I16" s="94" t="s">
        <v>19</v>
      </c>
      <c r="J16" s="94" t="s">
        <v>70</v>
      </c>
      <c r="K16" s="94" t="s">
        <v>43</v>
      </c>
      <c r="L16" s="94" t="s">
        <v>44</v>
      </c>
      <c r="M16" s="94" t="s">
        <v>30</v>
      </c>
      <c r="N16" s="94" t="s">
        <v>45</v>
      </c>
      <c r="P16" s="68" t="s">
        <v>27</v>
      </c>
      <c r="Q16" s="69" t="s">
        <v>29</v>
      </c>
      <c r="R16" s="69" t="s">
        <v>17</v>
      </c>
      <c r="U16" s="69"/>
      <c r="W16" s="94" t="s">
        <v>19</v>
      </c>
      <c r="X16" s="94" t="s">
        <v>70</v>
      </c>
      <c r="Y16" s="94" t="s">
        <v>43</v>
      </c>
      <c r="Z16" s="94" t="s">
        <v>44</v>
      </c>
      <c r="AA16" s="94" t="s">
        <v>30</v>
      </c>
      <c r="AB16" s="94" t="s">
        <v>45</v>
      </c>
    </row>
    <row r="17" spans="1:28" x14ac:dyDescent="0.3">
      <c r="A17" s="70"/>
      <c r="B17" s="71">
        <f>Carga!F5</f>
        <v>44043</v>
      </c>
      <c r="C17" s="72"/>
      <c r="D17" s="151"/>
      <c r="E17" s="153"/>
      <c r="F17" s="155"/>
      <c r="G17" s="73">
        <v>0</v>
      </c>
      <c r="H17" s="74"/>
      <c r="I17" s="129">
        <f>+Q5</f>
        <v>44061</v>
      </c>
      <c r="J17" s="99"/>
      <c r="K17" s="100"/>
      <c r="L17" s="100"/>
      <c r="M17" s="121">
        <f>-N17*M9/100</f>
        <v>-3557060.7998444955</v>
      </c>
      <c r="N17" s="102">
        <f>+G5</f>
        <v>3677569</v>
      </c>
      <c r="P17" s="75">
        <f t="shared" ref="P17:P53" si="0">+I17-$Q$5</f>
        <v>0</v>
      </c>
      <c r="Q17" s="76"/>
      <c r="R17" s="76">
        <f>+P17*Q17</f>
        <v>0</v>
      </c>
      <c r="U17" s="77"/>
      <c r="W17" s="129">
        <f>J11</f>
        <v>44061</v>
      </c>
      <c r="X17" s="99"/>
      <c r="Y17" s="100"/>
      <c r="Z17" s="100"/>
      <c r="AA17" s="101">
        <v>0</v>
      </c>
      <c r="AB17" s="102">
        <f>G5</f>
        <v>3677569</v>
      </c>
    </row>
    <row r="18" spans="1:28" x14ac:dyDescent="0.3">
      <c r="A18" s="78">
        <f>+'Flujos de fondo MIN'!M5*$N$17/$G$5</f>
        <v>0</v>
      </c>
      <c r="B18" s="71">
        <f>+Carga!I5</f>
        <v>44074</v>
      </c>
      <c r="C18" s="79">
        <f>30*Carga!C13</f>
        <v>30</v>
      </c>
      <c r="D18" s="80">
        <f>Carga!L5</f>
        <v>0.2969</v>
      </c>
      <c r="E18" s="81">
        <f t="shared" ref="E18:E53" si="1">+MAX($J$7,MIN($J$8,$D18+$J$9/10000))</f>
        <v>0.32689999999999997</v>
      </c>
      <c r="F18" s="74">
        <f t="shared" ref="F18:F53" si="2">+((E18*N17)/360)*$C18</f>
        <v>100183.10884166666</v>
      </c>
      <c r="G18" s="73">
        <f t="shared" ref="G18:G53" si="3">+G17+F18-L18</f>
        <v>100183.10884166666</v>
      </c>
      <c r="H18" s="74"/>
      <c r="I18" s="128">
        <f>+'Flujos de fondo MIN'!B5</f>
        <v>44095</v>
      </c>
      <c r="J18" s="104">
        <f>+E18</f>
        <v>0.32689999999999997</v>
      </c>
      <c r="K18" s="82">
        <f>+A18-L18</f>
        <v>0</v>
      </c>
      <c r="L18" s="82">
        <f t="shared" ref="L18:L53" si="4">+MIN($A18,F18+G17)</f>
        <v>0</v>
      </c>
      <c r="M18" s="82">
        <f>+L18+K18</f>
        <v>0</v>
      </c>
      <c r="N18" s="105">
        <f t="shared" ref="N18:N53" si="5">+N17-K18</f>
        <v>3677569</v>
      </c>
      <c r="P18" s="75">
        <f t="shared" si="0"/>
        <v>34</v>
      </c>
      <c r="Q18" s="76">
        <f>+M18/(1+$M$7)^(P18/365)</f>
        <v>0</v>
      </c>
      <c r="R18" s="76">
        <f t="shared" ref="R18:R53" si="6">+P18*Q18</f>
        <v>0</v>
      </c>
      <c r="U18" s="77"/>
      <c r="W18" s="128">
        <v>44459</v>
      </c>
      <c r="X18" s="104">
        <v>0.31</v>
      </c>
      <c r="Y18" s="82">
        <v>2310325</v>
      </c>
      <c r="Z18" s="82">
        <v>1235050</v>
      </c>
      <c r="AA18" s="82">
        <f>+Y18+Z18</f>
        <v>3545375</v>
      </c>
      <c r="AB18" s="105">
        <f>AB17-Y18</f>
        <v>1367244</v>
      </c>
    </row>
    <row r="19" spans="1:28" x14ac:dyDescent="0.3">
      <c r="A19" s="78">
        <f>+'Flujos de fondo MIN'!M6*$N$17/$G$5</f>
        <v>0</v>
      </c>
      <c r="B19" s="71">
        <f>+Carga!I6</f>
        <v>44104</v>
      </c>
      <c r="C19" s="79">
        <v>30</v>
      </c>
      <c r="D19" s="80">
        <f>+IF(B19&lt;=$Q$5+C19,Carga!L6,$M$6)</f>
        <v>0.2969</v>
      </c>
      <c r="E19" s="81">
        <f t="shared" si="1"/>
        <v>0.32689999999999997</v>
      </c>
      <c r="F19" s="74">
        <f t="shared" si="2"/>
        <v>100183.10884166666</v>
      </c>
      <c r="G19" s="73">
        <f t="shared" si="3"/>
        <v>200366.21768333332</v>
      </c>
      <c r="H19" s="74"/>
      <c r="I19" s="128">
        <f>+'Flujos de fondo MIN'!B6</f>
        <v>44124</v>
      </c>
      <c r="J19" s="104">
        <f t="shared" ref="J19:J53" si="7">+E19</f>
        <v>0.32689999999999997</v>
      </c>
      <c r="K19" s="82">
        <f t="shared" ref="K19:K53" si="8">+IF(N18&gt;0,MIN(A19-L19,N18),0)</f>
        <v>0</v>
      </c>
      <c r="L19" s="82">
        <f t="shared" si="4"/>
        <v>0</v>
      </c>
      <c r="M19" s="82">
        <f t="shared" ref="M19:M53" si="9">+L19+K19</f>
        <v>0</v>
      </c>
      <c r="N19" s="105">
        <f t="shared" si="5"/>
        <v>3677569</v>
      </c>
      <c r="P19" s="75">
        <f t="shared" si="0"/>
        <v>63</v>
      </c>
      <c r="Q19" s="76">
        <f t="shared" ref="Q19:Q39" si="10">+M19/(1+$M$7)^(P19/365)</f>
        <v>0</v>
      </c>
      <c r="R19" s="76">
        <f t="shared" si="6"/>
        <v>0</v>
      </c>
      <c r="U19" s="77"/>
      <c r="W19" s="128">
        <v>44489</v>
      </c>
      <c r="X19" s="104">
        <v>0.31</v>
      </c>
      <c r="Y19" s="82">
        <v>1367244</v>
      </c>
      <c r="Z19" s="82">
        <v>35321</v>
      </c>
      <c r="AA19" s="82">
        <f>+Y19+Z19</f>
        <v>1402565</v>
      </c>
      <c r="AB19" s="105">
        <f>AB18-Y19</f>
        <v>0</v>
      </c>
    </row>
    <row r="20" spans="1:28" x14ac:dyDescent="0.3">
      <c r="A20" s="78">
        <f>+'Flujos de fondo MIN'!M7*$N$17/$G$5</f>
        <v>0</v>
      </c>
      <c r="B20" s="71">
        <f>+Carga!I7</f>
        <v>44135</v>
      </c>
      <c r="C20" s="79">
        <v>30</v>
      </c>
      <c r="D20" s="80">
        <f>+IF(B20&lt;=$Q$5+C20,Carga!L7,$M$6)</f>
        <v>0.2969</v>
      </c>
      <c r="E20" s="81">
        <f t="shared" si="1"/>
        <v>0.32689999999999997</v>
      </c>
      <c r="F20" s="74">
        <f t="shared" si="2"/>
        <v>100183.10884166666</v>
      </c>
      <c r="G20" s="73">
        <f>+G19+F20-L20</f>
        <v>300549.32652499998</v>
      </c>
      <c r="H20" s="74"/>
      <c r="I20" s="128">
        <f>+'Flujos de fondo MIN'!B7</f>
        <v>44155</v>
      </c>
      <c r="J20" s="104">
        <f t="shared" si="7"/>
        <v>0.32689999999999997</v>
      </c>
      <c r="K20" s="82">
        <f t="shared" si="8"/>
        <v>0</v>
      </c>
      <c r="L20" s="82">
        <f t="shared" si="4"/>
        <v>0</v>
      </c>
      <c r="M20" s="82">
        <f t="shared" si="9"/>
        <v>0</v>
      </c>
      <c r="N20" s="105">
        <f t="shared" si="5"/>
        <v>3677569</v>
      </c>
      <c r="P20" s="75">
        <f t="shared" si="0"/>
        <v>94</v>
      </c>
      <c r="Q20" s="76">
        <f t="shared" si="10"/>
        <v>0</v>
      </c>
      <c r="R20" s="76">
        <f t="shared" si="6"/>
        <v>0</v>
      </c>
      <c r="U20" s="77"/>
      <c r="W20" s="96" t="s">
        <v>30</v>
      </c>
      <c r="X20" s="97"/>
      <c r="Y20" s="98">
        <f>SUM(Y18:Y19)</f>
        <v>3677569</v>
      </c>
      <c r="Z20" s="98">
        <f>SUM(Z18:Z19)</f>
        <v>1270371</v>
      </c>
      <c r="AA20" s="98">
        <f>SUM(AA18:AA19)</f>
        <v>4947940</v>
      </c>
      <c r="AB20" s="98"/>
    </row>
    <row r="21" spans="1:28" x14ac:dyDescent="0.3">
      <c r="A21" s="78">
        <f>+'Flujos de fondo MIN'!M8*$N$17/$G$5</f>
        <v>0</v>
      </c>
      <c r="B21" s="71">
        <f>+Carga!I8</f>
        <v>44165</v>
      </c>
      <c r="C21" s="79">
        <v>30</v>
      </c>
      <c r="D21" s="80">
        <f>+IF(B21&lt;=$Q$5+C21,Carga!L8,$M$6)</f>
        <v>0.2969</v>
      </c>
      <c r="E21" s="81">
        <f t="shared" si="1"/>
        <v>0.32689999999999997</v>
      </c>
      <c r="F21" s="74">
        <f t="shared" si="2"/>
        <v>100183.10884166666</v>
      </c>
      <c r="G21" s="73">
        <f t="shared" si="3"/>
        <v>400732.43536666664</v>
      </c>
      <c r="H21" s="74"/>
      <c r="I21" s="128">
        <f>+'Flujos de fondo MIN'!B8</f>
        <v>44186</v>
      </c>
      <c r="J21" s="104">
        <f t="shared" si="7"/>
        <v>0.32689999999999997</v>
      </c>
      <c r="K21" s="82">
        <f t="shared" si="8"/>
        <v>0</v>
      </c>
      <c r="L21" s="82">
        <f t="shared" si="4"/>
        <v>0</v>
      </c>
      <c r="M21" s="82">
        <f t="shared" si="9"/>
        <v>0</v>
      </c>
      <c r="N21" s="105">
        <f t="shared" si="5"/>
        <v>3677569</v>
      </c>
      <c r="P21" s="75">
        <f t="shared" si="0"/>
        <v>125</v>
      </c>
      <c r="Q21" s="76">
        <f t="shared" si="10"/>
        <v>0</v>
      </c>
      <c r="R21" s="76">
        <f t="shared" si="6"/>
        <v>0</v>
      </c>
      <c r="U21" s="77"/>
    </row>
    <row r="22" spans="1:28" x14ac:dyDescent="0.3">
      <c r="A22" s="78">
        <f>+'Flujos de fondo MIN'!M9*$N$17/$G$5</f>
        <v>0</v>
      </c>
      <c r="B22" s="71">
        <f>+Carga!I9</f>
        <v>44196</v>
      </c>
      <c r="C22" s="79">
        <v>30</v>
      </c>
      <c r="D22" s="80">
        <f>+IF(B22&lt;=$Q$5+C22,Carga!L9,$M$6)</f>
        <v>0.2969</v>
      </c>
      <c r="E22" s="81">
        <f t="shared" si="1"/>
        <v>0.32689999999999997</v>
      </c>
      <c r="F22" s="74">
        <f t="shared" si="2"/>
        <v>100183.10884166666</v>
      </c>
      <c r="G22" s="73">
        <f t="shared" si="3"/>
        <v>500915.5442083333</v>
      </c>
      <c r="H22" s="74"/>
      <c r="I22" s="128">
        <f>+'Flujos de fondo MIN'!B9</f>
        <v>44216</v>
      </c>
      <c r="J22" s="104">
        <f t="shared" si="7"/>
        <v>0.32689999999999997</v>
      </c>
      <c r="K22" s="82">
        <f t="shared" si="8"/>
        <v>0</v>
      </c>
      <c r="L22" s="82">
        <f t="shared" si="4"/>
        <v>0</v>
      </c>
      <c r="M22" s="82">
        <f t="shared" si="9"/>
        <v>0</v>
      </c>
      <c r="N22" s="105">
        <f t="shared" si="5"/>
        <v>3677569</v>
      </c>
      <c r="P22" s="75">
        <f t="shared" si="0"/>
        <v>155</v>
      </c>
      <c r="Q22" s="76">
        <f t="shared" si="10"/>
        <v>0</v>
      </c>
      <c r="R22" s="76">
        <f t="shared" si="6"/>
        <v>0</v>
      </c>
      <c r="U22" s="77"/>
    </row>
    <row r="23" spans="1:28" x14ac:dyDescent="0.3">
      <c r="A23" s="78">
        <f>+'Flujos de fondo MIN'!M10*$N$17/$G$5</f>
        <v>0</v>
      </c>
      <c r="B23" s="71">
        <f>+Carga!I10</f>
        <v>44227</v>
      </c>
      <c r="C23" s="79">
        <v>30</v>
      </c>
      <c r="D23" s="80">
        <f>+IF(B23&lt;=$Q$5+C23,Carga!L10,$M$6)</f>
        <v>0.2969</v>
      </c>
      <c r="E23" s="81">
        <f t="shared" si="1"/>
        <v>0.32689999999999997</v>
      </c>
      <c r="F23" s="74">
        <f t="shared" si="2"/>
        <v>100183.10884166666</v>
      </c>
      <c r="G23" s="73">
        <f t="shared" si="3"/>
        <v>601098.65304999996</v>
      </c>
      <c r="H23" s="74"/>
      <c r="I23" s="128">
        <f>+'Flujos de fondo MIN'!B10</f>
        <v>44249</v>
      </c>
      <c r="J23" s="104">
        <f t="shared" si="7"/>
        <v>0.32689999999999997</v>
      </c>
      <c r="K23" s="82">
        <f t="shared" si="8"/>
        <v>0</v>
      </c>
      <c r="L23" s="82">
        <f t="shared" si="4"/>
        <v>0</v>
      </c>
      <c r="M23" s="82">
        <f t="shared" si="9"/>
        <v>0</v>
      </c>
      <c r="N23" s="105">
        <f t="shared" si="5"/>
        <v>3677569</v>
      </c>
      <c r="P23" s="75">
        <f t="shared" si="0"/>
        <v>188</v>
      </c>
      <c r="Q23" s="76">
        <f t="shared" si="10"/>
        <v>0</v>
      </c>
      <c r="R23" s="76">
        <f t="shared" si="6"/>
        <v>0</v>
      </c>
      <c r="U23" s="77"/>
      <c r="W23" s="77"/>
      <c r="X23" s="77"/>
      <c r="Y23" s="77"/>
    </row>
    <row r="24" spans="1:28" x14ac:dyDescent="0.3">
      <c r="A24" s="78">
        <f>+'Flujos de fondo MIN'!M11*$N$17/$G$5</f>
        <v>0</v>
      </c>
      <c r="B24" s="71">
        <f>+Carga!I11</f>
        <v>44255</v>
      </c>
      <c r="C24" s="79">
        <v>30</v>
      </c>
      <c r="D24" s="80">
        <f>+IF(B24&lt;=$Q$5+C24,Carga!L11,$M$6)</f>
        <v>0.2969</v>
      </c>
      <c r="E24" s="81">
        <f t="shared" si="1"/>
        <v>0.32689999999999997</v>
      </c>
      <c r="F24" s="74">
        <f t="shared" si="2"/>
        <v>100183.10884166666</v>
      </c>
      <c r="G24" s="73">
        <f t="shared" si="3"/>
        <v>701281.76189166657</v>
      </c>
      <c r="H24" s="74"/>
      <c r="I24" s="128">
        <f>+'Flujos de fondo MIN'!B11</f>
        <v>44277</v>
      </c>
      <c r="J24" s="104">
        <f t="shared" si="7"/>
        <v>0.32689999999999997</v>
      </c>
      <c r="K24" s="82">
        <f t="shared" si="8"/>
        <v>0</v>
      </c>
      <c r="L24" s="82">
        <f t="shared" si="4"/>
        <v>0</v>
      </c>
      <c r="M24" s="82">
        <f t="shared" si="9"/>
        <v>0</v>
      </c>
      <c r="N24" s="105">
        <f t="shared" si="5"/>
        <v>3677569</v>
      </c>
      <c r="P24" s="75">
        <f t="shared" si="0"/>
        <v>216</v>
      </c>
      <c r="Q24" s="76">
        <f t="shared" si="10"/>
        <v>0</v>
      </c>
      <c r="R24" s="76">
        <f t="shared" si="6"/>
        <v>0</v>
      </c>
      <c r="U24" s="77"/>
      <c r="W24" s="77"/>
      <c r="X24" s="77"/>
      <c r="Y24" s="77"/>
    </row>
    <row r="25" spans="1:28" x14ac:dyDescent="0.3">
      <c r="A25" s="78">
        <f>+'Flujos de fondo MIN'!M12*$N$17/$G$5</f>
        <v>0</v>
      </c>
      <c r="B25" s="71">
        <f>+Carga!I12</f>
        <v>44286</v>
      </c>
      <c r="C25" s="79">
        <v>30</v>
      </c>
      <c r="D25" s="80">
        <f>+IF(B25&lt;=$Q$5+C25,Carga!L12,$M$6)</f>
        <v>0.2969</v>
      </c>
      <c r="E25" s="81">
        <f t="shared" si="1"/>
        <v>0.32689999999999997</v>
      </c>
      <c r="F25" s="74">
        <f t="shared" si="2"/>
        <v>100183.10884166666</v>
      </c>
      <c r="G25" s="73">
        <f t="shared" si="3"/>
        <v>801464.87073333329</v>
      </c>
      <c r="H25" s="74"/>
      <c r="I25" s="128">
        <f>+'Flujos de fondo MIN'!B12</f>
        <v>44306</v>
      </c>
      <c r="J25" s="104">
        <f t="shared" si="7"/>
        <v>0.32689999999999997</v>
      </c>
      <c r="K25" s="82">
        <f t="shared" si="8"/>
        <v>0</v>
      </c>
      <c r="L25" s="82">
        <f t="shared" si="4"/>
        <v>0</v>
      </c>
      <c r="M25" s="82">
        <f t="shared" si="9"/>
        <v>0</v>
      </c>
      <c r="N25" s="105">
        <f t="shared" si="5"/>
        <v>3677569</v>
      </c>
      <c r="P25" s="75">
        <f t="shared" si="0"/>
        <v>245</v>
      </c>
      <c r="Q25" s="76">
        <f t="shared" si="10"/>
        <v>0</v>
      </c>
      <c r="R25" s="76">
        <f t="shared" si="6"/>
        <v>0</v>
      </c>
      <c r="U25" s="77"/>
      <c r="W25" s="77"/>
      <c r="X25" s="77"/>
      <c r="Y25" s="77"/>
    </row>
    <row r="26" spans="1:28" x14ac:dyDescent="0.3">
      <c r="A26" s="78">
        <f>+'Flujos de fondo MIN'!M13*$N$17/$G$5</f>
        <v>0</v>
      </c>
      <c r="B26" s="71">
        <f>+Carga!I13</f>
        <v>44316</v>
      </c>
      <c r="C26" s="79">
        <v>30</v>
      </c>
      <c r="D26" s="80">
        <f>+IF(B26&lt;=$Q$5+C26,Carga!L13,$M$6)</f>
        <v>0.2969</v>
      </c>
      <c r="E26" s="81">
        <f t="shared" si="1"/>
        <v>0.32689999999999997</v>
      </c>
      <c r="F26" s="74">
        <f t="shared" si="2"/>
        <v>100183.10884166666</v>
      </c>
      <c r="G26" s="73">
        <f t="shared" si="3"/>
        <v>901647.979575</v>
      </c>
      <c r="H26" s="74"/>
      <c r="I26" s="128">
        <f>+'Flujos de fondo MIN'!B13</f>
        <v>44336</v>
      </c>
      <c r="J26" s="104">
        <f t="shared" si="7"/>
        <v>0.32689999999999997</v>
      </c>
      <c r="K26" s="82">
        <f t="shared" si="8"/>
        <v>0</v>
      </c>
      <c r="L26" s="82">
        <f t="shared" si="4"/>
        <v>0</v>
      </c>
      <c r="M26" s="82">
        <f t="shared" si="9"/>
        <v>0</v>
      </c>
      <c r="N26" s="105">
        <f t="shared" si="5"/>
        <v>3677569</v>
      </c>
      <c r="P26" s="75">
        <f t="shared" si="0"/>
        <v>275</v>
      </c>
      <c r="Q26" s="76">
        <f t="shared" si="10"/>
        <v>0</v>
      </c>
      <c r="R26" s="76">
        <f t="shared" si="6"/>
        <v>0</v>
      </c>
      <c r="U26" s="77"/>
      <c r="W26" s="77"/>
      <c r="X26" s="77"/>
      <c r="Y26" s="77"/>
    </row>
    <row r="27" spans="1:28" x14ac:dyDescent="0.3">
      <c r="A27" s="78">
        <f>+'Flujos de fondo MIN'!M14*$N$17/$G$5</f>
        <v>0</v>
      </c>
      <c r="B27" s="71">
        <f>+Carga!I14</f>
        <v>44347</v>
      </c>
      <c r="C27" s="79">
        <v>30</v>
      </c>
      <c r="D27" s="80">
        <f>+IF(B27&lt;=$Q$5+C27,Carga!L14,$M$6)</f>
        <v>0.2969</v>
      </c>
      <c r="E27" s="81">
        <f t="shared" si="1"/>
        <v>0.32689999999999997</v>
      </c>
      <c r="F27" s="74">
        <f t="shared" si="2"/>
        <v>100183.10884166666</v>
      </c>
      <c r="G27" s="73">
        <f t="shared" si="3"/>
        <v>1001831.0884166667</v>
      </c>
      <c r="H27" s="74"/>
      <c r="I27" s="128">
        <f>+'Flujos de fondo MIN'!B14</f>
        <v>44368</v>
      </c>
      <c r="J27" s="104">
        <f t="shared" si="7"/>
        <v>0.32689999999999997</v>
      </c>
      <c r="K27" s="82">
        <f>+IF(N26&gt;0,MIN(A27-L27,N26),0)</f>
        <v>0</v>
      </c>
      <c r="L27" s="82">
        <f>+MIN($A27,F27+G26)</f>
        <v>0</v>
      </c>
      <c r="M27" s="82">
        <f t="shared" si="9"/>
        <v>0</v>
      </c>
      <c r="N27" s="105">
        <f t="shared" si="5"/>
        <v>3677569</v>
      </c>
      <c r="P27" s="75">
        <f t="shared" si="0"/>
        <v>307</v>
      </c>
      <c r="Q27" s="76">
        <f t="shared" si="10"/>
        <v>0</v>
      </c>
      <c r="R27" s="76">
        <f t="shared" si="6"/>
        <v>0</v>
      </c>
      <c r="U27" s="77"/>
      <c r="W27" s="77"/>
      <c r="X27" s="77"/>
      <c r="Y27" s="77"/>
    </row>
    <row r="28" spans="1:28" x14ac:dyDescent="0.3">
      <c r="A28" s="78">
        <f>+'Flujos de fondo MIN'!M15*$N$17/$G$5</f>
        <v>0</v>
      </c>
      <c r="B28" s="71">
        <f>+Carga!I15</f>
        <v>44377</v>
      </c>
      <c r="C28" s="79">
        <v>30</v>
      </c>
      <c r="D28" s="80">
        <f>+IF(B28&lt;=$Q$5+C28,Carga!L15,$M$6)</f>
        <v>0.2969</v>
      </c>
      <c r="E28" s="81">
        <f t="shared" si="1"/>
        <v>0.32689999999999997</v>
      </c>
      <c r="F28" s="74">
        <f t="shared" si="2"/>
        <v>100183.10884166666</v>
      </c>
      <c r="G28" s="73">
        <f t="shared" si="3"/>
        <v>1102014.1972583334</v>
      </c>
      <c r="H28" s="74"/>
      <c r="I28" s="128">
        <f>+'Flujos de fondo MIN'!B15</f>
        <v>44397</v>
      </c>
      <c r="J28" s="104">
        <f t="shared" si="7"/>
        <v>0.32689999999999997</v>
      </c>
      <c r="K28" s="82">
        <f t="shared" si="8"/>
        <v>0</v>
      </c>
      <c r="L28" s="82">
        <f t="shared" si="4"/>
        <v>0</v>
      </c>
      <c r="M28" s="82">
        <f t="shared" si="9"/>
        <v>0</v>
      </c>
      <c r="N28" s="105">
        <f t="shared" si="5"/>
        <v>3677569</v>
      </c>
      <c r="P28" s="75">
        <f t="shared" si="0"/>
        <v>336</v>
      </c>
      <c r="Q28" s="76">
        <f t="shared" si="10"/>
        <v>0</v>
      </c>
      <c r="R28" s="76">
        <f t="shared" si="6"/>
        <v>0</v>
      </c>
      <c r="U28" s="77"/>
      <c r="W28" s="77"/>
      <c r="X28" s="77"/>
      <c r="Y28" s="77"/>
    </row>
    <row r="29" spans="1:28" x14ac:dyDescent="0.3">
      <c r="A29" s="78">
        <f>+'Flujos de fondo MIN'!M16*$N$17/$G$5</f>
        <v>0</v>
      </c>
      <c r="B29" s="71">
        <f>+Carga!I16</f>
        <v>44408</v>
      </c>
      <c r="C29" s="79">
        <v>30</v>
      </c>
      <c r="D29" s="80">
        <f>+IF(B29&lt;=$Q$5+C29,Carga!L16,$M$6)</f>
        <v>0.2969</v>
      </c>
      <c r="E29" s="81">
        <f t="shared" si="1"/>
        <v>0.32689999999999997</v>
      </c>
      <c r="F29" s="74">
        <f>+((E29*N28)/360)*$C29</f>
        <v>100183.10884166666</v>
      </c>
      <c r="G29" s="73">
        <f t="shared" si="3"/>
        <v>1202197.3061000002</v>
      </c>
      <c r="H29" s="74"/>
      <c r="I29" s="128">
        <f>+'Flujos de fondo MIN'!B16</f>
        <v>44428</v>
      </c>
      <c r="J29" s="104">
        <f t="shared" si="7"/>
        <v>0.32689999999999997</v>
      </c>
      <c r="K29" s="82">
        <f t="shared" si="8"/>
        <v>0</v>
      </c>
      <c r="L29" s="82">
        <f t="shared" si="4"/>
        <v>0</v>
      </c>
      <c r="M29" s="82">
        <f>+L29+K29</f>
        <v>0</v>
      </c>
      <c r="N29" s="105">
        <f t="shared" si="5"/>
        <v>3677569</v>
      </c>
      <c r="P29" s="75">
        <f t="shared" si="0"/>
        <v>367</v>
      </c>
      <c r="Q29" s="76">
        <f t="shared" si="10"/>
        <v>0</v>
      </c>
      <c r="R29" s="76">
        <f t="shared" si="6"/>
        <v>0</v>
      </c>
      <c r="U29" s="77"/>
      <c r="W29" s="77"/>
      <c r="X29" s="77"/>
      <c r="Y29" s="77"/>
    </row>
    <row r="30" spans="1:28" x14ac:dyDescent="0.3">
      <c r="A30" s="78">
        <f>+'Flujos de fondo MIN'!M17*$N$17/$G$5</f>
        <v>3156652.0526427981</v>
      </c>
      <c r="B30" s="71">
        <f>+Carga!I17</f>
        <v>44439</v>
      </c>
      <c r="C30" s="79">
        <v>30</v>
      </c>
      <c r="D30" s="80">
        <f>+IF(B30&lt;=$Q$5+C30,Carga!L17,$M$6)</f>
        <v>0.2969</v>
      </c>
      <c r="E30" s="81">
        <f t="shared" si="1"/>
        <v>0.32689999999999997</v>
      </c>
      <c r="F30" s="74">
        <f t="shared" si="2"/>
        <v>100183.10884166666</v>
      </c>
      <c r="G30" s="73">
        <f t="shared" si="3"/>
        <v>0</v>
      </c>
      <c r="H30" s="74"/>
      <c r="I30" s="128">
        <f>+'Flujos de fondo MIN'!B17</f>
        <v>44459</v>
      </c>
      <c r="J30" s="104">
        <f t="shared" si="7"/>
        <v>0.32689999999999997</v>
      </c>
      <c r="K30" s="82">
        <f t="shared" si="8"/>
        <v>1854271.6377011312</v>
      </c>
      <c r="L30" s="82">
        <f t="shared" si="4"/>
        <v>1302380.4149416669</v>
      </c>
      <c r="M30" s="82">
        <f t="shared" si="9"/>
        <v>3156652.0526427981</v>
      </c>
      <c r="N30" s="105">
        <f t="shared" si="5"/>
        <v>1823297.3622988688</v>
      </c>
      <c r="P30" s="75">
        <f t="shared" si="0"/>
        <v>398</v>
      </c>
      <c r="Q30" s="76">
        <f t="shared" si="10"/>
        <v>2284896.4566820767</v>
      </c>
      <c r="R30" s="76">
        <f t="shared" si="6"/>
        <v>909388789.75946653</v>
      </c>
      <c r="U30" s="77"/>
      <c r="W30" s="77"/>
      <c r="X30" s="77"/>
      <c r="Y30" s="77"/>
    </row>
    <row r="31" spans="1:28" x14ac:dyDescent="0.3">
      <c r="A31" s="78">
        <f>+'Flujos de fondo MIN'!M18*$N$17/$G$5</f>
        <v>4359559</v>
      </c>
      <c r="B31" s="71">
        <f>+Carga!I18</f>
        <v>44469</v>
      </c>
      <c r="C31" s="79">
        <v>30</v>
      </c>
      <c r="D31" s="80">
        <f>+IF(B31&lt;=$Q$5+C31,Carga!L18,$M$6)</f>
        <v>0.2969</v>
      </c>
      <c r="E31" s="81">
        <f t="shared" si="1"/>
        <v>0.32689999999999997</v>
      </c>
      <c r="F31" s="74">
        <f t="shared" si="2"/>
        <v>49669.658977958345</v>
      </c>
      <c r="G31" s="73">
        <f t="shared" si="3"/>
        <v>0</v>
      </c>
      <c r="H31" s="74"/>
      <c r="I31" s="128">
        <f>+'Flujos de fondo MIN'!B18</f>
        <v>44489</v>
      </c>
      <c r="J31" s="104">
        <f t="shared" si="7"/>
        <v>0.32689999999999997</v>
      </c>
      <c r="K31" s="82">
        <f t="shared" si="8"/>
        <v>1823297.3622988688</v>
      </c>
      <c r="L31" s="82">
        <f t="shared" si="4"/>
        <v>49669.658977958345</v>
      </c>
      <c r="M31" s="82">
        <f t="shared" si="9"/>
        <v>1872967.0212768272</v>
      </c>
      <c r="N31" s="105">
        <f t="shared" si="5"/>
        <v>0</v>
      </c>
      <c r="P31" s="75">
        <f t="shared" si="0"/>
        <v>428</v>
      </c>
      <c r="Q31" s="76">
        <f t="shared" si="10"/>
        <v>1323091.9503658656</v>
      </c>
      <c r="R31" s="76">
        <f t="shared" si="6"/>
        <v>566283354.75659049</v>
      </c>
      <c r="U31" s="77"/>
      <c r="W31" s="77"/>
      <c r="X31" s="77"/>
      <c r="Y31" s="77"/>
    </row>
    <row r="32" spans="1:28" x14ac:dyDescent="0.3">
      <c r="A32" s="78">
        <f>+'Flujos de fondo MIN'!M19*$N$17/$G$5</f>
        <v>3642761</v>
      </c>
      <c r="B32" s="71">
        <f>+Carga!I19</f>
        <v>44500</v>
      </c>
      <c r="C32" s="79">
        <v>30</v>
      </c>
      <c r="D32" s="80">
        <f>+IF(B32&lt;=$Q$5+C32,Carga!L19,$M$6)</f>
        <v>0.2969</v>
      </c>
      <c r="E32" s="81">
        <f t="shared" si="1"/>
        <v>0.32689999999999997</v>
      </c>
      <c r="F32" s="74">
        <f t="shared" si="2"/>
        <v>0</v>
      </c>
      <c r="G32" s="73">
        <f t="shared" si="3"/>
        <v>0</v>
      </c>
      <c r="H32" s="74"/>
      <c r="I32" s="128">
        <f>+'Flujos de fondo MIN'!B19</f>
        <v>44520</v>
      </c>
      <c r="J32" s="104">
        <f t="shared" si="7"/>
        <v>0.32689999999999997</v>
      </c>
      <c r="K32" s="82">
        <f t="shared" si="8"/>
        <v>0</v>
      </c>
      <c r="L32" s="82">
        <f t="shared" si="4"/>
        <v>0</v>
      </c>
      <c r="M32" s="82">
        <f t="shared" si="9"/>
        <v>0</v>
      </c>
      <c r="N32" s="105">
        <f t="shared" si="5"/>
        <v>0</v>
      </c>
      <c r="P32" s="75">
        <f t="shared" si="0"/>
        <v>459</v>
      </c>
      <c r="Q32" s="76">
        <f t="shared" si="10"/>
        <v>0</v>
      </c>
      <c r="R32" s="76">
        <f t="shared" si="6"/>
        <v>0</v>
      </c>
      <c r="U32" s="77"/>
      <c r="W32" s="77"/>
      <c r="X32" s="77"/>
      <c r="Y32" s="77"/>
    </row>
    <row r="33" spans="1:25" ht="17.25" thickBot="1" x14ac:dyDescent="0.35">
      <c r="A33" s="78">
        <f>+'Flujos de fondo MIN'!M20*$N$17/$G$5</f>
        <v>4349817</v>
      </c>
      <c r="B33" s="71">
        <f>+Carga!I20</f>
        <v>44530</v>
      </c>
      <c r="C33" s="79">
        <v>30</v>
      </c>
      <c r="D33" s="80">
        <f>+IF(B33&lt;=$Q$5+C33,Carga!L20,$M$6)</f>
        <v>0.2969</v>
      </c>
      <c r="E33" s="81">
        <f t="shared" si="1"/>
        <v>0.32689999999999997</v>
      </c>
      <c r="F33" s="74">
        <f t="shared" si="2"/>
        <v>0</v>
      </c>
      <c r="G33" s="73">
        <f t="shared" si="3"/>
        <v>0</v>
      </c>
      <c r="H33" s="74"/>
      <c r="I33" s="128">
        <f>+'Flujos de fondo MIN'!B20</f>
        <v>44550</v>
      </c>
      <c r="J33" s="104">
        <f t="shared" si="7"/>
        <v>0.32689999999999997</v>
      </c>
      <c r="K33" s="82">
        <f t="shared" si="8"/>
        <v>0</v>
      </c>
      <c r="L33" s="82">
        <f t="shared" si="4"/>
        <v>0</v>
      </c>
      <c r="M33" s="82">
        <f t="shared" si="9"/>
        <v>0</v>
      </c>
      <c r="N33" s="105">
        <f t="shared" si="5"/>
        <v>0</v>
      </c>
      <c r="P33" s="75">
        <f t="shared" si="0"/>
        <v>489</v>
      </c>
      <c r="Q33" s="76">
        <f t="shared" si="10"/>
        <v>0</v>
      </c>
      <c r="R33" s="76">
        <f t="shared" si="6"/>
        <v>0</v>
      </c>
      <c r="U33" s="77"/>
      <c r="W33" s="77"/>
      <c r="X33" s="77"/>
      <c r="Y33" s="77"/>
    </row>
    <row r="34" spans="1:25" hidden="1" x14ac:dyDescent="0.3">
      <c r="A34" s="78">
        <f>+'Flujos de fondo MIN'!M21*$N$17/$G$5</f>
        <v>4278356</v>
      </c>
      <c r="B34" s="71">
        <f>+Carga!I21</f>
        <v>44561</v>
      </c>
      <c r="C34" s="79">
        <v>30</v>
      </c>
      <c r="D34" s="80">
        <f>+IF(B34&lt;=$Q$5+C34,Carga!L21,$M$6)</f>
        <v>0.2969</v>
      </c>
      <c r="E34" s="81">
        <f t="shared" si="1"/>
        <v>0.32689999999999997</v>
      </c>
      <c r="F34" s="74">
        <f t="shared" si="2"/>
        <v>0</v>
      </c>
      <c r="G34" s="73">
        <f t="shared" si="3"/>
        <v>0</v>
      </c>
      <c r="H34" s="74"/>
      <c r="I34" s="128">
        <f>+'Flujos de fondo MIN'!B21</f>
        <v>44581</v>
      </c>
      <c r="J34" s="104">
        <f t="shared" si="7"/>
        <v>0.32689999999999997</v>
      </c>
      <c r="K34" s="82">
        <f t="shared" si="8"/>
        <v>0</v>
      </c>
      <c r="L34" s="82">
        <f t="shared" si="4"/>
        <v>0</v>
      </c>
      <c r="M34" s="82">
        <f t="shared" si="9"/>
        <v>0</v>
      </c>
      <c r="N34" s="105">
        <f t="shared" si="5"/>
        <v>0</v>
      </c>
      <c r="P34" s="75">
        <f t="shared" si="0"/>
        <v>520</v>
      </c>
      <c r="Q34" s="76">
        <f t="shared" si="10"/>
        <v>0</v>
      </c>
      <c r="R34" s="76">
        <f t="shared" si="6"/>
        <v>0</v>
      </c>
      <c r="U34" s="77"/>
      <c r="W34" s="77"/>
      <c r="X34" s="77"/>
      <c r="Y34" s="77"/>
    </row>
    <row r="35" spans="1:25" hidden="1" x14ac:dyDescent="0.3">
      <c r="A35" s="78">
        <f>+'Flujos de fondo MIN'!M22*$N$17/$G$5</f>
        <v>4139987</v>
      </c>
      <c r="B35" s="71">
        <f>+Carga!I22</f>
        <v>44592</v>
      </c>
      <c r="C35" s="79">
        <v>30</v>
      </c>
      <c r="D35" s="80">
        <f>+IF(B35&lt;=$Q$5+C35,Carga!L22,$M$6)</f>
        <v>0.2969</v>
      </c>
      <c r="E35" s="81">
        <f t="shared" si="1"/>
        <v>0.32689999999999997</v>
      </c>
      <c r="F35" s="74">
        <f t="shared" si="2"/>
        <v>0</v>
      </c>
      <c r="G35" s="73">
        <f t="shared" si="3"/>
        <v>0</v>
      </c>
      <c r="H35" s="74"/>
      <c r="I35" s="103">
        <f>+'Flujos de fondo MIN'!B22</f>
        <v>44612</v>
      </c>
      <c r="J35" s="104">
        <f t="shared" si="7"/>
        <v>0.32689999999999997</v>
      </c>
      <c r="K35" s="82">
        <f t="shared" si="8"/>
        <v>0</v>
      </c>
      <c r="L35" s="82">
        <f t="shared" si="4"/>
        <v>0</v>
      </c>
      <c r="M35" s="82">
        <f t="shared" si="9"/>
        <v>0</v>
      </c>
      <c r="N35" s="105">
        <f t="shared" si="5"/>
        <v>0</v>
      </c>
      <c r="P35" s="75">
        <f t="shared" si="0"/>
        <v>551</v>
      </c>
      <c r="Q35" s="76">
        <f t="shared" si="10"/>
        <v>0</v>
      </c>
      <c r="R35" s="76">
        <f t="shared" si="6"/>
        <v>0</v>
      </c>
      <c r="U35" s="77"/>
      <c r="W35" s="77"/>
      <c r="X35" s="77"/>
      <c r="Y35" s="77"/>
    </row>
    <row r="36" spans="1:25" hidden="1" x14ac:dyDescent="0.3">
      <c r="A36" s="78">
        <f>+'Flujos de fondo MIN'!M23*$N$17/$G$5</f>
        <v>3820517</v>
      </c>
      <c r="B36" s="71">
        <f>+Carga!I23</f>
        <v>44620</v>
      </c>
      <c r="C36" s="79">
        <v>30</v>
      </c>
      <c r="D36" s="80">
        <f>+IF(B36&lt;=$Q$5+C36,Carga!L23,$M$6)</f>
        <v>0.2969</v>
      </c>
      <c r="E36" s="81">
        <f t="shared" si="1"/>
        <v>0.32689999999999997</v>
      </c>
      <c r="F36" s="74">
        <f t="shared" si="2"/>
        <v>0</v>
      </c>
      <c r="G36" s="73">
        <f t="shared" si="3"/>
        <v>0</v>
      </c>
      <c r="H36" s="74"/>
      <c r="I36" s="103">
        <f>+'Flujos de fondo MIN'!B23</f>
        <v>44640</v>
      </c>
      <c r="J36" s="104">
        <f t="shared" si="7"/>
        <v>0.32689999999999997</v>
      </c>
      <c r="K36" s="82">
        <f t="shared" si="8"/>
        <v>0</v>
      </c>
      <c r="L36" s="82">
        <f t="shared" si="4"/>
        <v>0</v>
      </c>
      <c r="M36" s="82">
        <f t="shared" si="9"/>
        <v>0</v>
      </c>
      <c r="N36" s="105">
        <f t="shared" si="5"/>
        <v>0</v>
      </c>
      <c r="P36" s="75">
        <f t="shared" si="0"/>
        <v>579</v>
      </c>
      <c r="Q36" s="76">
        <f t="shared" si="10"/>
        <v>0</v>
      </c>
      <c r="R36" s="76">
        <f t="shared" si="6"/>
        <v>0</v>
      </c>
      <c r="U36" s="77"/>
      <c r="W36" s="77"/>
      <c r="X36" s="77"/>
      <c r="Y36" s="77"/>
    </row>
    <row r="37" spans="1:25" hidden="1" x14ac:dyDescent="0.3">
      <c r="A37" s="78">
        <f>+'Flujos de fondo MIN'!M24*$N$17/$G$5</f>
        <v>3240134</v>
      </c>
      <c r="B37" s="71">
        <f>+Carga!I24</f>
        <v>44651</v>
      </c>
      <c r="C37" s="79">
        <v>30</v>
      </c>
      <c r="D37" s="80">
        <f>+IF(B37&lt;=$Q$5+C37,Carga!L24,$M$6)</f>
        <v>0.2969</v>
      </c>
      <c r="E37" s="81">
        <f t="shared" si="1"/>
        <v>0.32689999999999997</v>
      </c>
      <c r="F37" s="74">
        <f t="shared" si="2"/>
        <v>0</v>
      </c>
      <c r="G37" s="73">
        <f t="shared" si="3"/>
        <v>0</v>
      </c>
      <c r="H37" s="74"/>
      <c r="I37" s="103">
        <f>+'Flujos de fondo MIN'!B24</f>
        <v>44671</v>
      </c>
      <c r="J37" s="104">
        <f t="shared" si="7"/>
        <v>0.32689999999999997</v>
      </c>
      <c r="K37" s="82">
        <f t="shared" si="8"/>
        <v>0</v>
      </c>
      <c r="L37" s="82">
        <f t="shared" si="4"/>
        <v>0</v>
      </c>
      <c r="M37" s="82">
        <f t="shared" si="9"/>
        <v>0</v>
      </c>
      <c r="N37" s="105">
        <f t="shared" si="5"/>
        <v>0</v>
      </c>
      <c r="P37" s="75">
        <f t="shared" si="0"/>
        <v>610</v>
      </c>
      <c r="Q37" s="76">
        <f t="shared" si="10"/>
        <v>0</v>
      </c>
      <c r="R37" s="76">
        <f t="shared" si="6"/>
        <v>0</v>
      </c>
      <c r="U37" s="77"/>
      <c r="W37" s="77"/>
      <c r="X37" s="77"/>
      <c r="Y37" s="77"/>
    </row>
    <row r="38" spans="1:25" hidden="1" x14ac:dyDescent="0.3">
      <c r="A38" s="78">
        <f>+'Flujos de fondo MIN'!M25*$N$17/$G$5</f>
        <v>2508317</v>
      </c>
      <c r="B38" s="71">
        <f>+Carga!I25</f>
        <v>44681</v>
      </c>
      <c r="C38" s="79">
        <v>30</v>
      </c>
      <c r="D38" s="80">
        <f>+IF(B38&lt;=$Q$5+C38,Carga!L25,$M$6)</f>
        <v>0.2969</v>
      </c>
      <c r="E38" s="81">
        <f t="shared" si="1"/>
        <v>0.32689999999999997</v>
      </c>
      <c r="F38" s="74">
        <f t="shared" si="2"/>
        <v>0</v>
      </c>
      <c r="G38" s="73">
        <f t="shared" si="3"/>
        <v>0</v>
      </c>
      <c r="H38" s="74"/>
      <c r="I38" s="103">
        <f>+'Flujos de fondo MIN'!B25</f>
        <v>44701</v>
      </c>
      <c r="J38" s="104">
        <f t="shared" si="7"/>
        <v>0.32689999999999997</v>
      </c>
      <c r="K38" s="82">
        <f t="shared" si="8"/>
        <v>0</v>
      </c>
      <c r="L38" s="82">
        <f t="shared" si="4"/>
        <v>0</v>
      </c>
      <c r="M38" s="82">
        <f t="shared" si="9"/>
        <v>0</v>
      </c>
      <c r="N38" s="105">
        <f t="shared" si="5"/>
        <v>0</v>
      </c>
      <c r="P38" s="75">
        <f t="shared" si="0"/>
        <v>640</v>
      </c>
      <c r="Q38" s="76">
        <f t="shared" si="10"/>
        <v>0</v>
      </c>
      <c r="R38" s="76">
        <f t="shared" si="6"/>
        <v>0</v>
      </c>
      <c r="U38" s="77"/>
      <c r="W38" s="77"/>
      <c r="X38" s="77"/>
      <c r="Y38" s="77"/>
    </row>
    <row r="39" spans="1:25" hidden="1" x14ac:dyDescent="0.3">
      <c r="A39" s="78">
        <f>+'Flujos de fondo MIN'!M26*$N$17/$G$5</f>
        <v>2263850</v>
      </c>
      <c r="B39" s="71">
        <f>+Carga!I26</f>
        <v>44712</v>
      </c>
      <c r="C39" s="79">
        <v>30</v>
      </c>
      <c r="D39" s="80">
        <f>+IF(B39&lt;=$Q$5+C39,Carga!L26,$M$6)</f>
        <v>0.2969</v>
      </c>
      <c r="E39" s="81">
        <f t="shared" si="1"/>
        <v>0.32689999999999997</v>
      </c>
      <c r="F39" s="74">
        <f t="shared" si="2"/>
        <v>0</v>
      </c>
      <c r="G39" s="73">
        <f t="shared" si="3"/>
        <v>0</v>
      </c>
      <c r="H39" s="74"/>
      <c r="I39" s="103">
        <f>+'Flujos de fondo MIN'!B26</f>
        <v>44732</v>
      </c>
      <c r="J39" s="104">
        <f t="shared" si="7"/>
        <v>0.32689999999999997</v>
      </c>
      <c r="K39" s="82">
        <f t="shared" si="8"/>
        <v>0</v>
      </c>
      <c r="L39" s="82">
        <f t="shared" si="4"/>
        <v>0</v>
      </c>
      <c r="M39" s="82">
        <f t="shared" si="9"/>
        <v>0</v>
      </c>
      <c r="N39" s="105">
        <f t="shared" si="5"/>
        <v>0</v>
      </c>
      <c r="P39" s="75">
        <f t="shared" si="0"/>
        <v>671</v>
      </c>
      <c r="Q39" s="76">
        <f t="shared" si="10"/>
        <v>0</v>
      </c>
      <c r="R39" s="76">
        <f t="shared" si="6"/>
        <v>0</v>
      </c>
      <c r="U39" s="77"/>
      <c r="W39" s="77"/>
      <c r="X39" s="77"/>
      <c r="Y39" s="77"/>
    </row>
    <row r="40" spans="1:25" hidden="1" x14ac:dyDescent="0.3">
      <c r="A40" s="78">
        <f>+'Flujos de fondo MIN'!M27*$N$17/$G$5</f>
        <v>2145422</v>
      </c>
      <c r="B40" s="71">
        <f>+Carga!I27</f>
        <v>44742</v>
      </c>
      <c r="C40" s="79">
        <v>30</v>
      </c>
      <c r="D40" s="80">
        <f>+IF(B40&lt;=$Q$5+C40,Carga!L27,$M$6)</f>
        <v>0.2969</v>
      </c>
      <c r="E40" s="81">
        <f t="shared" si="1"/>
        <v>0.32689999999999997</v>
      </c>
      <c r="F40" s="74">
        <f t="shared" si="2"/>
        <v>0</v>
      </c>
      <c r="G40" s="73">
        <f t="shared" si="3"/>
        <v>0</v>
      </c>
      <c r="H40" s="74"/>
      <c r="I40" s="103">
        <f>+'Flujos de fondo MIN'!B27</f>
        <v>44762</v>
      </c>
      <c r="J40" s="104">
        <f t="shared" si="7"/>
        <v>0.32689999999999997</v>
      </c>
      <c r="K40" s="82">
        <f t="shared" si="8"/>
        <v>0</v>
      </c>
      <c r="L40" s="82">
        <f t="shared" si="4"/>
        <v>0</v>
      </c>
      <c r="M40" s="82">
        <f t="shared" si="9"/>
        <v>0</v>
      </c>
      <c r="N40" s="105">
        <f t="shared" si="5"/>
        <v>0</v>
      </c>
      <c r="P40" s="75">
        <f t="shared" si="0"/>
        <v>701</v>
      </c>
      <c r="Q40" s="76">
        <f t="shared" ref="Q40:Q53" si="11">+M40/(1+$M$10)^(P40/365)</f>
        <v>0</v>
      </c>
      <c r="R40" s="76">
        <f t="shared" si="6"/>
        <v>0</v>
      </c>
      <c r="U40" s="77"/>
      <c r="W40" s="77"/>
      <c r="X40" s="77"/>
      <c r="Y40" s="77"/>
    </row>
    <row r="41" spans="1:25" hidden="1" x14ac:dyDescent="0.3">
      <c r="A41" s="78">
        <f>+'Flujos de fondo MIN'!M28*$N$17/$G$5</f>
        <v>2140347</v>
      </c>
      <c r="B41" s="71">
        <f>+Carga!I28</f>
        <v>44773</v>
      </c>
      <c r="C41" s="79">
        <v>30</v>
      </c>
      <c r="D41" s="80">
        <f>+IF(B41&lt;=$Q$5+C41,Carga!L28,$M$6)</f>
        <v>0.2969</v>
      </c>
      <c r="E41" s="81">
        <f t="shared" si="1"/>
        <v>0.32689999999999997</v>
      </c>
      <c r="F41" s="74">
        <f t="shared" si="2"/>
        <v>0</v>
      </c>
      <c r="G41" s="73">
        <f t="shared" si="3"/>
        <v>0</v>
      </c>
      <c r="H41" s="74"/>
      <c r="I41" s="103">
        <f>+'Flujos de fondo MIN'!B28</f>
        <v>44793</v>
      </c>
      <c r="J41" s="104">
        <f t="shared" si="7"/>
        <v>0.32689999999999997</v>
      </c>
      <c r="K41" s="82">
        <f t="shared" si="8"/>
        <v>0</v>
      </c>
      <c r="L41" s="82">
        <f t="shared" si="4"/>
        <v>0</v>
      </c>
      <c r="M41" s="82">
        <f t="shared" si="9"/>
        <v>0</v>
      </c>
      <c r="N41" s="105">
        <f t="shared" si="5"/>
        <v>0</v>
      </c>
      <c r="P41" s="75">
        <f t="shared" si="0"/>
        <v>732</v>
      </c>
      <c r="Q41" s="76">
        <f t="shared" si="11"/>
        <v>0</v>
      </c>
      <c r="R41" s="76">
        <f t="shared" si="6"/>
        <v>0</v>
      </c>
      <c r="U41" s="77"/>
      <c r="W41" s="77"/>
      <c r="X41" s="77"/>
      <c r="Y41" s="77"/>
    </row>
    <row r="42" spans="1:25" hidden="1" x14ac:dyDescent="0.3">
      <c r="A42" s="78">
        <f>+'Flujos de fondo MIN'!M29*$N$17/$G$5</f>
        <v>2075183</v>
      </c>
      <c r="B42" s="71">
        <f>+Carga!I29</f>
        <v>44804</v>
      </c>
      <c r="C42" s="79">
        <v>30</v>
      </c>
      <c r="D42" s="80">
        <f>+IF(B42&lt;=$Q$5+C42,Carga!L29,$M$6)</f>
        <v>0.2969</v>
      </c>
      <c r="E42" s="81">
        <f t="shared" si="1"/>
        <v>0.32689999999999997</v>
      </c>
      <c r="F42" s="74">
        <f t="shared" si="2"/>
        <v>0</v>
      </c>
      <c r="G42" s="73">
        <f t="shared" si="3"/>
        <v>0</v>
      </c>
      <c r="H42" s="74"/>
      <c r="I42" s="103">
        <f>+'Flujos de fondo MIN'!B29</f>
        <v>44824</v>
      </c>
      <c r="J42" s="104">
        <f t="shared" si="7"/>
        <v>0.32689999999999997</v>
      </c>
      <c r="K42" s="82">
        <f t="shared" si="8"/>
        <v>0</v>
      </c>
      <c r="L42" s="82">
        <f t="shared" si="4"/>
        <v>0</v>
      </c>
      <c r="M42" s="82">
        <f t="shared" si="9"/>
        <v>0</v>
      </c>
      <c r="N42" s="105">
        <f t="shared" si="5"/>
        <v>0</v>
      </c>
      <c r="P42" s="75">
        <f t="shared" si="0"/>
        <v>763</v>
      </c>
      <c r="Q42" s="76">
        <f t="shared" si="11"/>
        <v>0</v>
      </c>
      <c r="R42" s="76">
        <f t="shared" si="6"/>
        <v>0</v>
      </c>
      <c r="U42" s="77"/>
      <c r="W42" s="77"/>
      <c r="X42" s="77"/>
      <c r="Y42" s="77"/>
    </row>
    <row r="43" spans="1:25" hidden="1" x14ac:dyDescent="0.3">
      <c r="A43" s="78">
        <f>+'Flujos de fondo MIN'!M30*$N$17/$G$5</f>
        <v>1324824</v>
      </c>
      <c r="B43" s="71">
        <f>+Carga!I30</f>
        <v>44834</v>
      </c>
      <c r="C43" s="79">
        <v>30</v>
      </c>
      <c r="D43" s="80">
        <f>+IF(B43&lt;=$Q$5+C43,Carga!L30,$M$6)</f>
        <v>0.2969</v>
      </c>
      <c r="E43" s="81">
        <f t="shared" si="1"/>
        <v>0.32689999999999997</v>
      </c>
      <c r="F43" s="74">
        <f t="shared" si="2"/>
        <v>0</v>
      </c>
      <c r="G43" s="73">
        <f t="shared" si="3"/>
        <v>0</v>
      </c>
      <c r="H43" s="74"/>
      <c r="I43" s="103">
        <f>+'Flujos de fondo MIN'!B30</f>
        <v>44854</v>
      </c>
      <c r="J43" s="104">
        <f t="shared" si="7"/>
        <v>0.32689999999999997</v>
      </c>
      <c r="K43" s="82">
        <f t="shared" si="8"/>
        <v>0</v>
      </c>
      <c r="L43" s="82">
        <f t="shared" si="4"/>
        <v>0</v>
      </c>
      <c r="M43" s="82">
        <f t="shared" si="9"/>
        <v>0</v>
      </c>
      <c r="N43" s="105">
        <f t="shared" si="5"/>
        <v>0</v>
      </c>
      <c r="P43" s="75">
        <f t="shared" si="0"/>
        <v>793</v>
      </c>
      <c r="Q43" s="76">
        <f t="shared" si="11"/>
        <v>0</v>
      </c>
      <c r="R43" s="76">
        <f t="shared" si="6"/>
        <v>0</v>
      </c>
      <c r="U43" s="77"/>
      <c r="W43" s="77"/>
      <c r="X43" s="77"/>
      <c r="Y43" s="77"/>
    </row>
    <row r="44" spans="1:25" hidden="1" x14ac:dyDescent="0.3">
      <c r="A44" s="78">
        <f>+'Flujos de fondo MIN'!M31*$N$17/$G$5</f>
        <v>1277252</v>
      </c>
      <c r="B44" s="71">
        <f>+Carga!I31</f>
        <v>44865</v>
      </c>
      <c r="C44" s="79">
        <v>30</v>
      </c>
      <c r="D44" s="80">
        <f>+IF(B44&lt;=$Q$5+C44,Carga!L31,$M$6)</f>
        <v>0.2969</v>
      </c>
      <c r="E44" s="81">
        <f t="shared" si="1"/>
        <v>0.32689999999999997</v>
      </c>
      <c r="F44" s="74">
        <f t="shared" si="2"/>
        <v>0</v>
      </c>
      <c r="G44" s="73">
        <f t="shared" si="3"/>
        <v>0</v>
      </c>
      <c r="H44" s="74"/>
      <c r="I44" s="103">
        <f>+'Flujos de fondo MIN'!B31</f>
        <v>44885</v>
      </c>
      <c r="J44" s="104">
        <f t="shared" si="7"/>
        <v>0.32689999999999997</v>
      </c>
      <c r="K44" s="82">
        <f t="shared" si="8"/>
        <v>0</v>
      </c>
      <c r="L44" s="82">
        <f t="shared" si="4"/>
        <v>0</v>
      </c>
      <c r="M44" s="82">
        <f t="shared" si="9"/>
        <v>0</v>
      </c>
      <c r="N44" s="105">
        <f t="shared" si="5"/>
        <v>0</v>
      </c>
      <c r="P44" s="75">
        <f t="shared" si="0"/>
        <v>824</v>
      </c>
      <c r="Q44" s="76">
        <f t="shared" si="11"/>
        <v>0</v>
      </c>
      <c r="R44" s="76">
        <f t="shared" si="6"/>
        <v>0</v>
      </c>
      <c r="U44" s="77"/>
      <c r="W44" s="77"/>
      <c r="X44" s="77"/>
      <c r="Y44" s="77"/>
    </row>
    <row r="45" spans="1:25" hidden="1" x14ac:dyDescent="0.3">
      <c r="A45" s="78">
        <f>+'Flujos de fondo MIN'!M32*$N$17/$G$5</f>
        <v>1257024</v>
      </c>
      <c r="B45" s="71">
        <f>+Carga!I32</f>
        <v>44895</v>
      </c>
      <c r="C45" s="79">
        <v>30</v>
      </c>
      <c r="D45" s="80">
        <f>+IF(B45&lt;=$Q$5+C45,Carga!L32,$M$6)</f>
        <v>0.2969</v>
      </c>
      <c r="E45" s="81">
        <f t="shared" si="1"/>
        <v>0.32689999999999997</v>
      </c>
      <c r="F45" s="74">
        <f t="shared" si="2"/>
        <v>0</v>
      </c>
      <c r="G45" s="73">
        <f t="shared" si="3"/>
        <v>0</v>
      </c>
      <c r="H45" s="74"/>
      <c r="I45" s="103">
        <f>+'Flujos de fondo MIN'!B32</f>
        <v>44915</v>
      </c>
      <c r="J45" s="104">
        <f t="shared" si="7"/>
        <v>0.32689999999999997</v>
      </c>
      <c r="K45" s="82">
        <f t="shared" si="8"/>
        <v>0</v>
      </c>
      <c r="L45" s="82">
        <f t="shared" si="4"/>
        <v>0</v>
      </c>
      <c r="M45" s="82">
        <f t="shared" si="9"/>
        <v>0</v>
      </c>
      <c r="N45" s="105">
        <f t="shared" si="5"/>
        <v>0</v>
      </c>
      <c r="P45" s="75">
        <f t="shared" si="0"/>
        <v>854</v>
      </c>
      <c r="Q45" s="76">
        <f t="shared" si="11"/>
        <v>0</v>
      </c>
      <c r="R45" s="76">
        <f t="shared" si="6"/>
        <v>0</v>
      </c>
      <c r="U45" s="77"/>
      <c r="W45" s="77"/>
      <c r="X45" s="77"/>
      <c r="Y45" s="77"/>
    </row>
    <row r="46" spans="1:25" hidden="1" x14ac:dyDescent="0.3">
      <c r="A46" s="78">
        <f>+'Flujos de fondo MIN'!M33*$N$17/$G$5</f>
        <v>1257173</v>
      </c>
      <c r="B46" s="71">
        <f>+Carga!I33</f>
        <v>44926</v>
      </c>
      <c r="C46" s="79">
        <v>30</v>
      </c>
      <c r="D46" s="80">
        <f>+IF(B46&lt;=$Q$5+C46,Carga!L33,$M$6)</f>
        <v>0.2969</v>
      </c>
      <c r="E46" s="81">
        <f t="shared" si="1"/>
        <v>0.32689999999999997</v>
      </c>
      <c r="F46" s="74">
        <f t="shared" si="2"/>
        <v>0</v>
      </c>
      <c r="G46" s="73">
        <f t="shared" si="3"/>
        <v>0</v>
      </c>
      <c r="H46" s="74"/>
      <c r="I46" s="103">
        <f>+'Flujos de fondo MIN'!B33</f>
        <v>44946</v>
      </c>
      <c r="J46" s="104">
        <f t="shared" si="7"/>
        <v>0.32689999999999997</v>
      </c>
      <c r="K46" s="82">
        <f t="shared" si="8"/>
        <v>0</v>
      </c>
      <c r="L46" s="82">
        <f t="shared" si="4"/>
        <v>0</v>
      </c>
      <c r="M46" s="82">
        <f t="shared" si="9"/>
        <v>0</v>
      </c>
      <c r="N46" s="105">
        <f t="shared" si="5"/>
        <v>0</v>
      </c>
      <c r="P46" s="75">
        <f t="shared" si="0"/>
        <v>885</v>
      </c>
      <c r="Q46" s="76">
        <f t="shared" si="11"/>
        <v>0</v>
      </c>
      <c r="R46" s="76">
        <f t="shared" si="6"/>
        <v>0</v>
      </c>
      <c r="U46" s="77"/>
      <c r="W46" s="77"/>
      <c r="X46" s="77"/>
      <c r="Y46" s="77"/>
    </row>
    <row r="47" spans="1:25" hidden="1" x14ac:dyDescent="0.3">
      <c r="A47" s="78">
        <f>+'Flujos de fondo MIN'!M34*$N$17/$G$5</f>
        <v>990192</v>
      </c>
      <c r="B47" s="71">
        <f>+Carga!I34</f>
        <v>44957</v>
      </c>
      <c r="C47" s="79">
        <v>30</v>
      </c>
      <c r="D47" s="80">
        <f>+IF(B47&lt;=$Q$5+C47,Carga!L34,$M$6)</f>
        <v>0.2969</v>
      </c>
      <c r="E47" s="81">
        <f t="shared" si="1"/>
        <v>0.32689999999999997</v>
      </c>
      <c r="F47" s="74">
        <f t="shared" si="2"/>
        <v>0</v>
      </c>
      <c r="G47" s="73">
        <f t="shared" si="3"/>
        <v>0</v>
      </c>
      <c r="H47" s="74"/>
      <c r="I47" s="103">
        <f>+'Flujos de fondo MIN'!B34</f>
        <v>44977</v>
      </c>
      <c r="J47" s="104">
        <f t="shared" si="7"/>
        <v>0.32689999999999997</v>
      </c>
      <c r="K47" s="82">
        <f t="shared" si="8"/>
        <v>0</v>
      </c>
      <c r="L47" s="82">
        <f t="shared" si="4"/>
        <v>0</v>
      </c>
      <c r="M47" s="82">
        <f t="shared" si="9"/>
        <v>0</v>
      </c>
      <c r="N47" s="105">
        <f t="shared" si="5"/>
        <v>0</v>
      </c>
      <c r="P47" s="75">
        <f t="shared" si="0"/>
        <v>916</v>
      </c>
      <c r="Q47" s="76">
        <f t="shared" si="11"/>
        <v>0</v>
      </c>
      <c r="R47" s="76">
        <f t="shared" si="6"/>
        <v>0</v>
      </c>
      <c r="U47" s="77"/>
      <c r="W47" s="77"/>
      <c r="X47" s="77"/>
      <c r="Y47" s="77"/>
    </row>
    <row r="48" spans="1:25" hidden="1" x14ac:dyDescent="0.3">
      <c r="A48" s="78">
        <f>+'Flujos de fondo MIN'!M35*$N$17/$G$5</f>
        <v>545050</v>
      </c>
      <c r="B48" s="71">
        <f>+Carga!I35</f>
        <v>44985</v>
      </c>
      <c r="C48" s="79">
        <v>30</v>
      </c>
      <c r="D48" s="80">
        <f>+IF(B48&lt;=$Q$5+C48,Carga!L35,$M$6)</f>
        <v>0.2969</v>
      </c>
      <c r="E48" s="81">
        <f t="shared" si="1"/>
        <v>0.32689999999999997</v>
      </c>
      <c r="F48" s="74">
        <f t="shared" si="2"/>
        <v>0</v>
      </c>
      <c r="G48" s="73">
        <f t="shared" si="3"/>
        <v>0</v>
      </c>
      <c r="H48" s="74"/>
      <c r="I48" s="103">
        <f>+'Flujos de fondo MIN'!B35</f>
        <v>45005</v>
      </c>
      <c r="J48" s="104">
        <f t="shared" si="7"/>
        <v>0.32689999999999997</v>
      </c>
      <c r="K48" s="82">
        <f t="shared" si="8"/>
        <v>0</v>
      </c>
      <c r="L48" s="82">
        <f t="shared" si="4"/>
        <v>0</v>
      </c>
      <c r="M48" s="82">
        <f t="shared" si="9"/>
        <v>0</v>
      </c>
      <c r="N48" s="105">
        <f t="shared" si="5"/>
        <v>0</v>
      </c>
      <c r="P48" s="75">
        <f t="shared" si="0"/>
        <v>944</v>
      </c>
      <c r="Q48" s="76">
        <f t="shared" si="11"/>
        <v>0</v>
      </c>
      <c r="R48" s="76">
        <f t="shared" si="6"/>
        <v>0</v>
      </c>
      <c r="U48" s="77"/>
      <c r="W48" s="77"/>
      <c r="X48" s="77"/>
      <c r="Y48" s="77"/>
    </row>
    <row r="49" spans="1:25" hidden="1" x14ac:dyDescent="0.3">
      <c r="A49" s="78">
        <f>+'Flujos de fondo MIN'!M36*$N$17/$G$5</f>
        <v>232586</v>
      </c>
      <c r="B49" s="71">
        <f>+Carga!I36</f>
        <v>45016</v>
      </c>
      <c r="C49" s="79">
        <v>30</v>
      </c>
      <c r="D49" s="80">
        <f>+IF(B49&lt;=$Q$5+C49,Carga!L36,$M$6)</f>
        <v>0.2969</v>
      </c>
      <c r="E49" s="81">
        <f t="shared" si="1"/>
        <v>0.32689999999999997</v>
      </c>
      <c r="F49" s="74">
        <f t="shared" si="2"/>
        <v>0</v>
      </c>
      <c r="G49" s="73">
        <f t="shared" si="3"/>
        <v>0</v>
      </c>
      <c r="H49" s="74"/>
      <c r="I49" s="103">
        <f>+'Flujos de fondo MIN'!B36</f>
        <v>45036</v>
      </c>
      <c r="J49" s="104">
        <f t="shared" si="7"/>
        <v>0.32689999999999997</v>
      </c>
      <c r="K49" s="82">
        <f t="shared" si="8"/>
        <v>0</v>
      </c>
      <c r="L49" s="82">
        <f t="shared" si="4"/>
        <v>0</v>
      </c>
      <c r="M49" s="82">
        <f t="shared" si="9"/>
        <v>0</v>
      </c>
      <c r="N49" s="105">
        <f t="shared" si="5"/>
        <v>0</v>
      </c>
      <c r="P49" s="75">
        <f t="shared" si="0"/>
        <v>975</v>
      </c>
      <c r="Q49" s="76">
        <f t="shared" si="11"/>
        <v>0</v>
      </c>
      <c r="R49" s="76">
        <f t="shared" si="6"/>
        <v>0</v>
      </c>
      <c r="U49" s="77"/>
      <c r="W49" s="77"/>
      <c r="X49" s="77"/>
      <c r="Y49" s="77"/>
    </row>
    <row r="50" spans="1:25" hidden="1" x14ac:dyDescent="0.3">
      <c r="A50" s="78">
        <f>+'Flujos de fondo MIN'!M37*$N$17/$G$5</f>
        <v>19580</v>
      </c>
      <c r="B50" s="71">
        <f>+Carga!I37</f>
        <v>45046</v>
      </c>
      <c r="C50" s="79">
        <v>30</v>
      </c>
      <c r="D50" s="80">
        <f>+IF(B50&lt;=$Q$5+C50,Carga!L37,$M$6)</f>
        <v>0.2969</v>
      </c>
      <c r="E50" s="81">
        <f t="shared" si="1"/>
        <v>0.32689999999999997</v>
      </c>
      <c r="F50" s="74">
        <f t="shared" si="2"/>
        <v>0</v>
      </c>
      <c r="G50" s="73">
        <f t="shared" si="3"/>
        <v>0</v>
      </c>
      <c r="H50" s="74"/>
      <c r="I50" s="103">
        <f>+'Flujos de fondo MIN'!B37</f>
        <v>45066</v>
      </c>
      <c r="J50" s="104">
        <f t="shared" si="7"/>
        <v>0.32689999999999997</v>
      </c>
      <c r="K50" s="82">
        <f t="shared" si="8"/>
        <v>0</v>
      </c>
      <c r="L50" s="82">
        <f t="shared" si="4"/>
        <v>0</v>
      </c>
      <c r="M50" s="82">
        <f t="shared" si="9"/>
        <v>0</v>
      </c>
      <c r="N50" s="105">
        <f t="shared" si="5"/>
        <v>0</v>
      </c>
      <c r="P50" s="75">
        <f t="shared" si="0"/>
        <v>1005</v>
      </c>
      <c r="Q50" s="76">
        <f t="shared" si="11"/>
        <v>0</v>
      </c>
      <c r="R50" s="76">
        <f t="shared" si="6"/>
        <v>0</v>
      </c>
      <c r="U50" s="77"/>
      <c r="W50" s="77"/>
      <c r="X50" s="77"/>
      <c r="Y50" s="77"/>
    </row>
    <row r="51" spans="1:25" hidden="1" x14ac:dyDescent="0.3">
      <c r="A51" s="78">
        <f>+'Flujos de fondo MIN'!M38*$N$17/$G$5</f>
        <v>0</v>
      </c>
      <c r="B51" s="71">
        <f>+Carga!I38</f>
        <v>0</v>
      </c>
      <c r="C51" s="79">
        <v>30</v>
      </c>
      <c r="D51" s="80">
        <f>+IF(B51&lt;=$Q$5+C51,Carga!L38,$M$6)</f>
        <v>0.2969</v>
      </c>
      <c r="E51" s="81">
        <f t="shared" si="1"/>
        <v>0.32689999999999997</v>
      </c>
      <c r="F51" s="74">
        <f t="shared" si="2"/>
        <v>0</v>
      </c>
      <c r="G51" s="73">
        <f t="shared" si="3"/>
        <v>0</v>
      </c>
      <c r="H51" s="74"/>
      <c r="I51" s="103">
        <f>+'Flujos de fondo MIN'!B38</f>
        <v>0</v>
      </c>
      <c r="J51" s="104">
        <f t="shared" si="7"/>
        <v>0.32689999999999997</v>
      </c>
      <c r="K51" s="82">
        <f t="shared" si="8"/>
        <v>0</v>
      </c>
      <c r="L51" s="82">
        <f t="shared" si="4"/>
        <v>0</v>
      </c>
      <c r="M51" s="82">
        <f t="shared" si="9"/>
        <v>0</v>
      </c>
      <c r="N51" s="105">
        <f t="shared" si="5"/>
        <v>0</v>
      </c>
      <c r="P51" s="75">
        <f t="shared" si="0"/>
        <v>-44061</v>
      </c>
      <c r="Q51" s="76">
        <f t="shared" si="11"/>
        <v>0</v>
      </c>
      <c r="R51" s="76">
        <f t="shared" si="6"/>
        <v>0</v>
      </c>
      <c r="U51" s="77"/>
      <c r="W51" s="77"/>
      <c r="X51" s="77"/>
      <c r="Y51" s="77"/>
    </row>
    <row r="52" spans="1:25" hidden="1" x14ac:dyDescent="0.3">
      <c r="A52" s="78">
        <f>+'Flujos de fondo MIN'!M39*$N$17/$G$5</f>
        <v>0</v>
      </c>
      <c r="B52" s="71">
        <f>+Carga!I39</f>
        <v>0</v>
      </c>
      <c r="C52" s="79">
        <v>30</v>
      </c>
      <c r="D52" s="80">
        <f>+IF(B52&lt;=$Q$5+C52,Carga!L39,$M$6)</f>
        <v>0.2969</v>
      </c>
      <c r="E52" s="81">
        <f t="shared" si="1"/>
        <v>0.32689999999999997</v>
      </c>
      <c r="F52" s="74">
        <f t="shared" si="2"/>
        <v>0</v>
      </c>
      <c r="G52" s="73">
        <f t="shared" si="3"/>
        <v>0</v>
      </c>
      <c r="H52" s="74"/>
      <c r="I52" s="103">
        <f>+'Flujos de fondo MIN'!B39</f>
        <v>0</v>
      </c>
      <c r="J52" s="104">
        <f t="shared" si="7"/>
        <v>0.32689999999999997</v>
      </c>
      <c r="K52" s="82">
        <f t="shared" si="8"/>
        <v>0</v>
      </c>
      <c r="L52" s="82">
        <f t="shared" si="4"/>
        <v>0</v>
      </c>
      <c r="M52" s="82">
        <f t="shared" si="9"/>
        <v>0</v>
      </c>
      <c r="N52" s="105">
        <f t="shared" si="5"/>
        <v>0</v>
      </c>
      <c r="P52" s="75">
        <f t="shared" si="0"/>
        <v>-44061</v>
      </c>
      <c r="Q52" s="76">
        <f t="shared" si="11"/>
        <v>0</v>
      </c>
      <c r="R52" s="76">
        <f t="shared" si="6"/>
        <v>0</v>
      </c>
      <c r="U52" s="77"/>
      <c r="W52" s="77"/>
      <c r="X52" s="77"/>
      <c r="Y52" s="77"/>
    </row>
    <row r="53" spans="1:25" ht="17.25" hidden="1" thickBot="1" x14ac:dyDescent="0.35">
      <c r="A53" s="78">
        <f>+'Flujos de fondo MIN'!M40*$N$17/$G$5</f>
        <v>0</v>
      </c>
      <c r="B53" s="71">
        <f>+Carga!I40</f>
        <v>0</v>
      </c>
      <c r="C53" s="79">
        <v>30</v>
      </c>
      <c r="D53" s="80">
        <f>+IF(B53&lt;=$Q$5+C53,Carga!L40,$M$6)</f>
        <v>0.2969</v>
      </c>
      <c r="E53" s="81">
        <f t="shared" si="1"/>
        <v>0.32689999999999997</v>
      </c>
      <c r="F53" s="74">
        <f t="shared" si="2"/>
        <v>0</v>
      </c>
      <c r="G53" s="73">
        <f t="shared" si="3"/>
        <v>0</v>
      </c>
      <c r="H53" s="74"/>
      <c r="I53" s="103">
        <f>+'Flujos de fondo MIN'!B40</f>
        <v>0</v>
      </c>
      <c r="J53" s="104">
        <f t="shared" si="7"/>
        <v>0.32689999999999997</v>
      </c>
      <c r="K53" s="82">
        <f t="shared" si="8"/>
        <v>0</v>
      </c>
      <c r="L53" s="82">
        <f t="shared" si="4"/>
        <v>0</v>
      </c>
      <c r="M53" s="82">
        <f t="shared" si="9"/>
        <v>0</v>
      </c>
      <c r="N53" s="105">
        <f t="shared" si="5"/>
        <v>0</v>
      </c>
      <c r="P53" s="75">
        <f t="shared" si="0"/>
        <v>-44061</v>
      </c>
      <c r="Q53" s="76">
        <f t="shared" si="11"/>
        <v>0</v>
      </c>
      <c r="R53" s="76">
        <f t="shared" si="6"/>
        <v>0</v>
      </c>
      <c r="U53" s="77"/>
    </row>
    <row r="54" spans="1:25" ht="17.25" thickBot="1" x14ac:dyDescent="0.35">
      <c r="A54" s="83">
        <f>SUM(A18:A39)</f>
        <v>35759950.0526428</v>
      </c>
      <c r="F54" s="83">
        <f>+SUM(F18:F53)</f>
        <v>1352050.0739196253</v>
      </c>
      <c r="I54" s="96" t="s">
        <v>30</v>
      </c>
      <c r="J54" s="97"/>
      <c r="K54" s="98">
        <f>+SUM(K18:K53)</f>
        <v>3677569</v>
      </c>
      <c r="L54" s="98">
        <f>+SUM(L18:L53)</f>
        <v>1352050.0739196253</v>
      </c>
      <c r="M54" s="98">
        <f>+SUM(M18:M53)</f>
        <v>5029619.073919625</v>
      </c>
      <c r="N54" s="98">
        <f>+N53</f>
        <v>0</v>
      </c>
      <c r="P54" s="76"/>
      <c r="Q54" s="76">
        <f>+SUM(Q17:Q53)</f>
        <v>3607988.4070479423</v>
      </c>
      <c r="R54" s="76">
        <f>+SUM(R17:R53)</f>
        <v>1475672144.516057</v>
      </c>
    </row>
    <row r="55" spans="1:25" hidden="1" x14ac:dyDescent="0.3">
      <c r="I55" s="84"/>
      <c r="J55" s="84"/>
      <c r="K55" s="85">
        <f>+'Flujos de fondo MIN'!Q66-K54</f>
        <v>0</v>
      </c>
      <c r="L55" s="85">
        <f>+'Flujos de fondo MIN'!R66-L54</f>
        <v>0</v>
      </c>
      <c r="M55" s="85">
        <f>+'Flujos de fondo MIN'!S66-M54</f>
        <v>0</v>
      </c>
      <c r="Q55" s="76"/>
      <c r="R55" s="76">
        <f>+R54/Q54</f>
        <v>409.00135422648231</v>
      </c>
    </row>
    <row r="56" spans="1:25" x14ac:dyDescent="0.3">
      <c r="A56" s="77"/>
      <c r="I56" s="84"/>
      <c r="J56" s="84"/>
      <c r="K56" s="77"/>
      <c r="L56" s="77"/>
      <c r="M56" s="77"/>
      <c r="Q56" s="86" t="s">
        <v>17</v>
      </c>
      <c r="R56" s="87">
        <f>+R55/30</f>
        <v>13.633378474216077</v>
      </c>
    </row>
    <row r="57" spans="1:25" x14ac:dyDescent="0.3">
      <c r="I57" s="143" t="s">
        <v>68</v>
      </c>
      <c r="J57" s="143"/>
      <c r="K57" s="143"/>
      <c r="L57" s="143"/>
      <c r="M57" s="143"/>
      <c r="N57" s="143"/>
      <c r="Q57" s="86" t="s">
        <v>31</v>
      </c>
      <c r="R57" s="87">
        <f>+R56/((1+M10)^(1/12))</f>
        <v>13.633378474216077</v>
      </c>
    </row>
    <row r="58" spans="1:25" x14ac:dyDescent="0.3">
      <c r="I58" s="143"/>
      <c r="J58" s="143"/>
      <c r="K58" s="143"/>
      <c r="L58" s="143"/>
      <c r="M58" s="143"/>
      <c r="N58" s="143"/>
    </row>
    <row r="59" spans="1:25" x14ac:dyDescent="0.3">
      <c r="I59" s="143"/>
      <c r="J59" s="143"/>
      <c r="K59" s="143"/>
      <c r="L59" s="143"/>
      <c r="M59" s="143"/>
      <c r="N59" s="143"/>
    </row>
    <row r="60" spans="1:25" x14ac:dyDescent="0.3">
      <c r="I60" s="143"/>
      <c r="J60" s="143"/>
      <c r="K60" s="143"/>
      <c r="L60" s="143"/>
      <c r="M60" s="143"/>
      <c r="N60" s="143"/>
    </row>
    <row r="61" spans="1:25" x14ac:dyDescent="0.3">
      <c r="I61" s="143"/>
      <c r="J61" s="143"/>
      <c r="K61" s="143"/>
      <c r="L61" s="143"/>
      <c r="M61" s="143"/>
      <c r="N61" s="143"/>
    </row>
    <row r="62" spans="1:25" x14ac:dyDescent="0.3">
      <c r="I62" s="84"/>
      <c r="J62" s="84"/>
    </row>
    <row r="63" spans="1:25" x14ac:dyDescent="0.3">
      <c r="I63" s="84"/>
      <c r="J63" s="84"/>
    </row>
    <row r="64" spans="1:25" x14ac:dyDescent="0.3">
      <c r="I64" s="84"/>
      <c r="J64" s="84"/>
    </row>
  </sheetData>
  <sheetProtection algorithmName="SHA-512" hashValue="K+QQuWsPwFyPE1o8vWusK6CMKWRRFvumTYp+ZNQfXxyT6KWwUBPNwaQN8fQfKVbBRpWMXvvWEbsGsKFFXMMzNw==" saltValue="qlcz0pcZdjlc2xAKMxJu2A==" spinCount="100000" sheet="1" objects="1" scenarios="1" selectLockedCells="1"/>
  <mergeCells count="8">
    <mergeCell ref="W15:AB15"/>
    <mergeCell ref="I57:N61"/>
    <mergeCell ref="A15:A16"/>
    <mergeCell ref="B15:G15"/>
    <mergeCell ref="I15:N15"/>
    <mergeCell ref="D16:D17"/>
    <mergeCell ref="E16:E17"/>
    <mergeCell ref="F16:F17"/>
  </mergeCells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Carga</vt:lpstr>
      <vt:lpstr>Badlar</vt:lpstr>
      <vt:lpstr>Flujos de fondo MIN</vt:lpstr>
      <vt:lpstr>Calculadora VDFA</vt:lpstr>
      <vt:lpstr>Calculadora VDFB</vt:lpstr>
      <vt:lpstr>'Calculadora VDFA'!Área_de_impresión</vt:lpstr>
      <vt:lpstr>'Calculadora VDFB'!Área_de_impresión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Terre, Rodrigo (AR - Rosario)</dc:creator>
  <cp:lastModifiedBy>Juan Novoa</cp:lastModifiedBy>
  <cp:lastPrinted>2013-06-26T13:21:03Z</cp:lastPrinted>
  <dcterms:created xsi:type="dcterms:W3CDTF">2013-06-25T22:55:10Z</dcterms:created>
  <dcterms:modified xsi:type="dcterms:W3CDTF">2020-08-13T14:07:37Z</dcterms:modified>
</cp:coreProperties>
</file>