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SUARIOS\Finanzas Corporativas\COLOCACIONES\TARJETA FERTIL\FF FERTIL 15\"/>
    </mc:Choice>
  </mc:AlternateContent>
  <bookViews>
    <workbookView xWindow="-45" yWindow="345" windowWidth="10260" windowHeight="7800" tabRatio="344"/>
  </bookViews>
  <sheets>
    <sheet name="VDF A" sheetId="1" r:id="rId1"/>
    <sheet name="VDF B" sheetId="5" r:id="rId2"/>
    <sheet name="Hoja1" sheetId="6" state="hidden" r:id="rId3"/>
  </sheets>
  <definedNames>
    <definedName name="_xlnm.Print_Area" localSheetId="0">'VDF A'!$A$1:$R$27</definedName>
    <definedName name="_xlnm.Print_Area" localSheetId="1">'VDF B'!$A$1:$S$29</definedName>
  </definedNames>
  <calcPr calcId="162913"/>
</workbook>
</file>

<file path=xl/calcChain.xml><?xml version="1.0" encoding="utf-8"?>
<calcChain xmlns="http://schemas.openxmlformats.org/spreadsheetml/2006/main">
  <c r="D12" i="5" l="1"/>
  <c r="D11" i="5"/>
  <c r="D12" i="1"/>
  <c r="D11" i="1"/>
  <c r="B36" i="1"/>
  <c r="B50" i="5" l="1"/>
  <c r="C50" i="5"/>
  <c r="C36" i="1"/>
  <c r="B52" i="5"/>
  <c r="C52" i="5" s="1"/>
  <c r="H20" i="1"/>
  <c r="F20" i="1" s="1"/>
  <c r="K11" i="5"/>
  <c r="K12" i="5"/>
  <c r="K13" i="5"/>
  <c r="K14" i="5"/>
  <c r="K15" i="5"/>
  <c r="K16" i="5"/>
  <c r="K17" i="5"/>
  <c r="K18" i="5"/>
  <c r="K19" i="5"/>
  <c r="K20" i="5"/>
  <c r="K21" i="5"/>
  <c r="K22" i="5"/>
  <c r="M39" i="5"/>
  <c r="M40" i="5"/>
  <c r="M41" i="5"/>
  <c r="M42" i="5"/>
  <c r="M43" i="5"/>
  <c r="M44" i="5"/>
  <c r="M45" i="5"/>
  <c r="M46" i="5"/>
  <c r="M47" i="5"/>
  <c r="M48" i="5"/>
  <c r="M49" i="5"/>
  <c r="M50" i="5"/>
  <c r="M51" i="5"/>
  <c r="M52" i="5"/>
  <c r="D10" i="5"/>
  <c r="D10" i="1"/>
  <c r="D19" i="1" s="1"/>
  <c r="L32" i="1" s="1"/>
  <c r="M54" i="5"/>
  <c r="M55" i="5"/>
  <c r="M53" i="5"/>
  <c r="M37" i="1"/>
  <c r="K12" i="1" s="1"/>
  <c r="M38" i="1"/>
  <c r="K13" i="1" s="1"/>
  <c r="M39" i="1"/>
  <c r="K14" i="1" s="1"/>
  <c r="M40" i="1"/>
  <c r="K15" i="1" s="1"/>
  <c r="M41" i="1"/>
  <c r="K16" i="1" s="1"/>
  <c r="M42" i="1"/>
  <c r="K17" i="1" s="1"/>
  <c r="M43" i="1"/>
  <c r="K18" i="1" s="1"/>
  <c r="M44" i="1"/>
  <c r="K19" i="1" s="1"/>
  <c r="M45" i="1"/>
  <c r="K20" i="1" s="1"/>
  <c r="M36" i="1"/>
  <c r="U50" i="1"/>
  <c r="AB50" i="1" s="1"/>
  <c r="U37" i="1"/>
  <c r="AB37" i="1" s="1"/>
  <c r="U38" i="1"/>
  <c r="AB38" i="1" s="1"/>
  <c r="U39" i="1"/>
  <c r="AB39" i="1" s="1"/>
  <c r="U40" i="1"/>
  <c r="AB40" i="1" s="1"/>
  <c r="U41" i="1"/>
  <c r="U42" i="1"/>
  <c r="U43" i="1"/>
  <c r="U44" i="1"/>
  <c r="U45" i="1"/>
  <c r="U46" i="1"/>
  <c r="AB46" i="1" s="1"/>
  <c r="U47" i="1"/>
  <c r="U48" i="1"/>
  <c r="AB48" i="1" s="1"/>
  <c r="U49" i="1"/>
  <c r="U40" i="5"/>
  <c r="AB40" i="5" s="1"/>
  <c r="U41" i="5"/>
  <c r="AB41" i="5" s="1"/>
  <c r="H14" i="5"/>
  <c r="U43" i="5"/>
  <c r="AB43" i="5" s="1"/>
  <c r="H16" i="5"/>
  <c r="H19" i="5"/>
  <c r="H20" i="5"/>
  <c r="H21" i="5"/>
  <c r="H22" i="5"/>
  <c r="U51" i="5"/>
  <c r="AB51" i="5" s="1"/>
  <c r="U52" i="5"/>
  <c r="H11" i="5"/>
  <c r="H1" i="5"/>
  <c r="H2" i="5"/>
  <c r="U54" i="5"/>
  <c r="AB54" i="5" s="1"/>
  <c r="U55" i="5"/>
  <c r="AB55" i="5" s="1"/>
  <c r="U56" i="5"/>
  <c r="AB56" i="5" s="1"/>
  <c r="D8" i="1"/>
  <c r="D8" i="5" s="1"/>
  <c r="D35" i="5" s="1"/>
  <c r="D7" i="1"/>
  <c r="D7" i="5" s="1"/>
  <c r="H35" i="5"/>
  <c r="U53" i="5"/>
  <c r="AB53" i="5" s="1"/>
  <c r="F38" i="5"/>
  <c r="Y36" i="5"/>
  <c r="L10" i="5"/>
  <c r="J50" i="1"/>
  <c r="V50" i="1" s="1"/>
  <c r="H19" i="1"/>
  <c r="F19" i="1" s="1"/>
  <c r="F35" i="1"/>
  <c r="Y33" i="1" s="1"/>
  <c r="B38" i="1"/>
  <c r="C38" i="1" s="1"/>
  <c r="B39" i="1"/>
  <c r="C39" i="1" s="1"/>
  <c r="B40" i="1"/>
  <c r="C40" i="1" s="1"/>
  <c r="B41" i="1"/>
  <c r="C41" i="1" s="1"/>
  <c r="B42" i="1"/>
  <c r="C42" i="1" s="1"/>
  <c r="B43" i="1"/>
  <c r="C43" i="1" s="1"/>
  <c r="B44" i="1"/>
  <c r="C44" i="1" s="1"/>
  <c r="B45" i="1"/>
  <c r="C45" i="1" s="1"/>
  <c r="C46" i="1"/>
  <c r="C47" i="1"/>
  <c r="B48" i="1"/>
  <c r="C48" i="1" s="1"/>
  <c r="B49" i="1"/>
  <c r="C49" i="1" s="1"/>
  <c r="B37" i="1"/>
  <c r="C37" i="1" s="1"/>
  <c r="H11" i="1"/>
  <c r="F11" i="1" s="1"/>
  <c r="H12" i="1"/>
  <c r="F12" i="1" s="1"/>
  <c r="H13" i="1"/>
  <c r="F13" i="1" s="1"/>
  <c r="H14" i="1"/>
  <c r="F14" i="1" s="1"/>
  <c r="H15" i="1"/>
  <c r="F15" i="1" s="1"/>
  <c r="H16" i="1"/>
  <c r="F16" i="1" s="1"/>
  <c r="H17" i="1"/>
  <c r="F17" i="1" s="1"/>
  <c r="H18" i="1"/>
  <c r="F18" i="1" s="1"/>
  <c r="V31" i="1"/>
  <c r="U36" i="1"/>
  <c r="L10" i="1"/>
  <c r="H32" i="1"/>
  <c r="I59" i="5"/>
  <c r="I53" i="1"/>
  <c r="U44" i="5"/>
  <c r="AB44" i="5" s="1"/>
  <c r="J44" i="5"/>
  <c r="V44" i="5" s="1"/>
  <c r="U39" i="5"/>
  <c r="AB39" i="5" s="1"/>
  <c r="U48" i="5"/>
  <c r="AB48" i="5" s="1"/>
  <c r="J43" i="5"/>
  <c r="J45" i="5"/>
  <c r="J40" i="5"/>
  <c r="V40" i="5" s="1"/>
  <c r="J42" i="5"/>
  <c r="J41" i="5"/>
  <c r="K41" i="5" s="1"/>
  <c r="I13" i="5" s="1"/>
  <c r="J47" i="5"/>
  <c r="K47" i="5" s="1"/>
  <c r="I19" i="5" s="1"/>
  <c r="J46" i="5"/>
  <c r="K42" i="5"/>
  <c r="I14" i="5"/>
  <c r="V42" i="5"/>
  <c r="J39" i="5"/>
  <c r="V39" i="5" s="1"/>
  <c r="V36" i="5"/>
  <c r="F39" i="5"/>
  <c r="F40" i="5" s="1"/>
  <c r="F41" i="5" s="1"/>
  <c r="F42" i="5" s="1"/>
  <c r="F43" i="5" s="1"/>
  <c r="F44" i="5" s="1"/>
  <c r="F45" i="5" s="1"/>
  <c r="F46" i="5" s="1"/>
  <c r="F47" i="5" s="1"/>
  <c r="F48" i="5" s="1"/>
  <c r="F36" i="1"/>
  <c r="F37" i="1" s="1"/>
  <c r="F38" i="1" s="1"/>
  <c r="J48" i="5"/>
  <c r="K39" i="5"/>
  <c r="I11" i="5" s="1"/>
  <c r="U47" i="5"/>
  <c r="AB47" i="5" s="1"/>
  <c r="H15" i="5"/>
  <c r="U46" i="5"/>
  <c r="AB46" i="5" s="1"/>
  <c r="H18" i="5"/>
  <c r="H12" i="5"/>
  <c r="U50" i="5"/>
  <c r="AB50" i="5" s="1"/>
  <c r="U42" i="5"/>
  <c r="AB42" i="5" s="1"/>
  <c r="U49" i="5"/>
  <c r="AB49" i="5" s="1"/>
  <c r="H13" i="5"/>
  <c r="N35" i="1"/>
  <c r="AF33" i="1" s="1"/>
  <c r="J35" i="1"/>
  <c r="H17" i="5"/>
  <c r="U45" i="5"/>
  <c r="V46" i="1"/>
  <c r="V49" i="1"/>
  <c r="V47" i="1"/>
  <c r="V48" i="1"/>
  <c r="AC47" i="1"/>
  <c r="AC46" i="1"/>
  <c r="AC48" i="1"/>
  <c r="AC49" i="1"/>
  <c r="J38" i="5"/>
  <c r="N38" i="5"/>
  <c r="AF36" i="5" s="1"/>
  <c r="W36" i="1" l="1"/>
  <c r="K23" i="5"/>
  <c r="N39" i="5"/>
  <c r="N40" i="5" s="1"/>
  <c r="N41" i="5" s="1"/>
  <c r="V41" i="5"/>
  <c r="H10" i="1"/>
  <c r="AD40" i="1"/>
  <c r="C51" i="5"/>
  <c r="B49" i="5"/>
  <c r="C49" i="5" s="1"/>
  <c r="AD50" i="1"/>
  <c r="W47" i="1"/>
  <c r="W50" i="1"/>
  <c r="L11" i="5"/>
  <c r="L12" i="5" s="1"/>
  <c r="L13" i="5" s="1"/>
  <c r="L14" i="5" s="1"/>
  <c r="L15" i="5" s="1"/>
  <c r="L16" i="5" s="1"/>
  <c r="L17" i="5" s="1"/>
  <c r="L18" i="5" s="1"/>
  <c r="L19" i="5" s="1"/>
  <c r="L20" i="5" s="1"/>
  <c r="L21" i="5" s="1"/>
  <c r="L22" i="5" s="1"/>
  <c r="V47" i="5"/>
  <c r="K40" i="5"/>
  <c r="I12" i="5" s="1"/>
  <c r="K44" i="5"/>
  <c r="I16" i="5" s="1"/>
  <c r="AB42" i="1"/>
  <c r="AD42" i="1" s="1"/>
  <c r="W42" i="1"/>
  <c r="W37" i="1"/>
  <c r="W48" i="1"/>
  <c r="Y48" i="1" s="1"/>
  <c r="AB47" i="1"/>
  <c r="AD47" i="1" s="1"/>
  <c r="AF47" i="1" s="1"/>
  <c r="AB45" i="1"/>
  <c r="AD45" i="1" s="1"/>
  <c r="W45" i="1"/>
  <c r="AB41" i="1"/>
  <c r="AD41" i="1" s="1"/>
  <c r="W41" i="1"/>
  <c r="AD38" i="1"/>
  <c r="W43" i="1"/>
  <c r="AD39" i="1"/>
  <c r="AD37" i="1"/>
  <c r="W46" i="1"/>
  <c r="Y46" i="1" s="1"/>
  <c r="K50" i="1"/>
  <c r="M50" i="1" s="1"/>
  <c r="O50" i="1" s="1"/>
  <c r="AC50" i="1" s="1"/>
  <c r="AF50" i="1" s="1"/>
  <c r="W39" i="1"/>
  <c r="AC31" i="1"/>
  <c r="AG53" i="1" s="1"/>
  <c r="AB36" i="1"/>
  <c r="AD36" i="1" s="1"/>
  <c r="AB44" i="1"/>
  <c r="AD44" i="1" s="1"/>
  <c r="W44" i="1"/>
  <c r="W40" i="1"/>
  <c r="W38" i="1"/>
  <c r="AB43" i="1"/>
  <c r="AD43" i="1" s="1"/>
  <c r="H39" i="1"/>
  <c r="J39" i="1" s="1"/>
  <c r="N14" i="1" s="1"/>
  <c r="H38" i="1"/>
  <c r="J38" i="1" s="1"/>
  <c r="V38" i="1" s="1"/>
  <c r="H37" i="1"/>
  <c r="J37" i="1" s="1"/>
  <c r="K37" i="1" s="1"/>
  <c r="F39" i="1"/>
  <c r="H40" i="1" s="1"/>
  <c r="J40" i="1" s="1"/>
  <c r="Y50" i="1"/>
  <c r="V33" i="1"/>
  <c r="H36" i="1"/>
  <c r="J36" i="1" s="1"/>
  <c r="V36" i="1" s="1"/>
  <c r="Y36" i="1" s="1"/>
  <c r="Y47" i="1"/>
  <c r="Z53" i="1"/>
  <c r="Y53" i="1" s="1"/>
  <c r="D19" i="5"/>
  <c r="L35" i="5" s="1"/>
  <c r="L40" i="5" s="1"/>
  <c r="AD46" i="1"/>
  <c r="AF46" i="1" s="1"/>
  <c r="D38" i="5"/>
  <c r="F22" i="5" s="1"/>
  <c r="H10" i="5"/>
  <c r="AD48" i="1"/>
  <c r="AF48" i="1" s="1"/>
  <c r="AC33" i="1"/>
  <c r="L36" i="1"/>
  <c r="N42" i="5"/>
  <c r="F49" i="5"/>
  <c r="K45" i="5"/>
  <c r="I17" i="5" s="1"/>
  <c r="V45" i="5"/>
  <c r="V46" i="5"/>
  <c r="K46" i="5"/>
  <c r="I18" i="5" s="1"/>
  <c r="V43" i="5"/>
  <c r="K43" i="5"/>
  <c r="I15" i="5" s="1"/>
  <c r="AB52" i="5"/>
  <c r="AB45" i="5"/>
  <c r="K48" i="5"/>
  <c r="I20" i="5" s="1"/>
  <c r="V48" i="5"/>
  <c r="K11" i="1"/>
  <c r="N36" i="1"/>
  <c r="AB49" i="1"/>
  <c r="AD49" i="1" s="1"/>
  <c r="AF49" i="1" s="1"/>
  <c r="W49" i="1"/>
  <c r="Y49" i="1" s="1"/>
  <c r="H49" i="5" l="1"/>
  <c r="J49" i="5" s="1"/>
  <c r="N12" i="1"/>
  <c r="F17" i="5"/>
  <c r="N17" i="5" s="1"/>
  <c r="F15" i="5"/>
  <c r="N15" i="5" s="1"/>
  <c r="M53" i="1"/>
  <c r="V39" i="1"/>
  <c r="Y39" i="1" s="1"/>
  <c r="K39" i="1"/>
  <c r="K38" i="1"/>
  <c r="N13" i="1"/>
  <c r="F40" i="1"/>
  <c r="F41" i="1" s="1"/>
  <c r="V37" i="1"/>
  <c r="Y37" i="1" s="1"/>
  <c r="N11" i="1"/>
  <c r="K36" i="1"/>
  <c r="L42" i="5"/>
  <c r="O42" i="5" s="1"/>
  <c r="AC42" i="5" s="1"/>
  <c r="L39" i="5"/>
  <c r="AC36" i="5"/>
  <c r="L41" i="5"/>
  <c r="F19" i="5"/>
  <c r="N19" i="5" s="1"/>
  <c r="F11" i="5"/>
  <c r="N11" i="5" s="1"/>
  <c r="F13" i="5"/>
  <c r="N13" i="5" s="1"/>
  <c r="F14" i="5"/>
  <c r="N14" i="5" s="1"/>
  <c r="F12" i="5"/>
  <c r="N12" i="5" s="1"/>
  <c r="F16" i="5"/>
  <c r="N16" i="5" s="1"/>
  <c r="F20" i="5"/>
  <c r="N20" i="5" s="1"/>
  <c r="V34" i="5"/>
  <c r="F18" i="5"/>
  <c r="N18" i="5" s="1"/>
  <c r="F21" i="5"/>
  <c r="J11" i="1"/>
  <c r="M11" i="1" s="1"/>
  <c r="O36" i="1"/>
  <c r="AC36" i="1" s="1"/>
  <c r="AF36" i="1" s="1"/>
  <c r="J12" i="5"/>
  <c r="O40" i="5"/>
  <c r="F50" i="5"/>
  <c r="H50" i="5"/>
  <c r="J50" i="5" s="1"/>
  <c r="K40" i="1"/>
  <c r="V40" i="1"/>
  <c r="N15" i="1"/>
  <c r="N37" i="1"/>
  <c r="L37" i="1"/>
  <c r="K21" i="1"/>
  <c r="L11" i="1"/>
  <c r="L12" i="1" s="1"/>
  <c r="L13" i="1" s="1"/>
  <c r="L14" i="1" s="1"/>
  <c r="L15" i="1" s="1"/>
  <c r="L16" i="1" s="1"/>
  <c r="L17" i="1" s="1"/>
  <c r="L18" i="1" s="1"/>
  <c r="L19" i="1" s="1"/>
  <c r="L20" i="1" s="1"/>
  <c r="N43" i="5"/>
  <c r="L43" i="5"/>
  <c r="Y38" i="1"/>
  <c r="AD50" i="5" l="1"/>
  <c r="AD46" i="5"/>
  <c r="AD42" i="5"/>
  <c r="AF42" i="5" s="1"/>
  <c r="W50" i="5"/>
  <c r="W46" i="5"/>
  <c r="Y46" i="5" s="1"/>
  <c r="W42" i="5"/>
  <c r="Y42" i="5" s="1"/>
  <c r="AD45" i="5"/>
  <c r="W49" i="5"/>
  <c r="W41" i="5"/>
  <c r="Y41" i="5" s="1"/>
  <c r="AD49" i="5"/>
  <c r="AD41" i="5"/>
  <c r="W45" i="5"/>
  <c r="Y45" i="5" s="1"/>
  <c r="AD48" i="5"/>
  <c r="AD44" i="5"/>
  <c r="AD40" i="5"/>
  <c r="W48" i="5"/>
  <c r="Y48" i="5" s="1"/>
  <c r="W44" i="5"/>
  <c r="W40" i="5"/>
  <c r="AD47" i="5"/>
  <c r="AD43" i="5"/>
  <c r="AD39" i="5"/>
  <c r="W47" i="5"/>
  <c r="W43" i="5"/>
  <c r="W39" i="5"/>
  <c r="Y39" i="5" s="1"/>
  <c r="H41" i="1"/>
  <c r="J14" i="5"/>
  <c r="M14" i="5" s="1"/>
  <c r="J13" i="5"/>
  <c r="M13" i="5" s="1"/>
  <c r="O41" i="5"/>
  <c r="AC41" i="5" s="1"/>
  <c r="AF41" i="5" s="1"/>
  <c r="O39" i="5"/>
  <c r="AC39" i="5" s="1"/>
  <c r="J11" i="5"/>
  <c r="M11" i="5" s="1"/>
  <c r="Y43" i="5"/>
  <c r="Y44" i="5"/>
  <c r="I11" i="1"/>
  <c r="AC34" i="5"/>
  <c r="AG59" i="5" s="1"/>
  <c r="W56" i="5"/>
  <c r="AD53" i="5"/>
  <c r="W55" i="5"/>
  <c r="W51" i="5"/>
  <c r="W52" i="5"/>
  <c r="Z59" i="5"/>
  <c r="Y47" i="5"/>
  <c r="AD54" i="5"/>
  <c r="AD51" i="5"/>
  <c r="AD56" i="5"/>
  <c r="AD52" i="5"/>
  <c r="AD55" i="5"/>
  <c r="W54" i="5"/>
  <c r="Y40" i="5"/>
  <c r="W53" i="5"/>
  <c r="N44" i="5"/>
  <c r="L44" i="5"/>
  <c r="J41" i="1"/>
  <c r="Y40" i="1"/>
  <c r="N21" i="5"/>
  <c r="K49" i="5"/>
  <c r="I21" i="5" s="1"/>
  <c r="V49" i="5"/>
  <c r="J15" i="5"/>
  <c r="M15" i="5" s="1"/>
  <c r="O43" i="5"/>
  <c r="AC43" i="5" s="1"/>
  <c r="H42" i="1"/>
  <c r="J42" i="1" s="1"/>
  <c r="F42" i="1"/>
  <c r="K50" i="5"/>
  <c r="I22" i="5" s="1"/>
  <c r="N22" i="5"/>
  <c r="V50" i="5"/>
  <c r="J12" i="1"/>
  <c r="O37" i="1"/>
  <c r="AC40" i="5"/>
  <c r="N38" i="1"/>
  <c r="L38" i="1"/>
  <c r="F51" i="5"/>
  <c r="H51" i="5"/>
  <c r="J51" i="5" s="1"/>
  <c r="M12" i="5"/>
  <c r="AF39" i="5" l="1"/>
  <c r="O38" i="1"/>
  <c r="AC38" i="1" s="1"/>
  <c r="J13" i="1"/>
  <c r="I12" i="1"/>
  <c r="M12" i="1"/>
  <c r="N39" i="1"/>
  <c r="L39" i="1"/>
  <c r="AF40" i="5"/>
  <c r="Y50" i="5"/>
  <c r="N17" i="1"/>
  <c r="K42" i="1"/>
  <c r="V42" i="1"/>
  <c r="Y49" i="5"/>
  <c r="N16" i="1"/>
  <c r="K41" i="1"/>
  <c r="V41" i="1"/>
  <c r="F52" i="5"/>
  <c r="H52" i="5"/>
  <c r="F43" i="1"/>
  <c r="H43" i="1"/>
  <c r="AF43" i="5"/>
  <c r="J16" i="5"/>
  <c r="O44" i="5"/>
  <c r="V51" i="5"/>
  <c r="K51" i="5"/>
  <c r="N23" i="5"/>
  <c r="N10" i="5" s="1"/>
  <c r="AC37" i="1"/>
  <c r="L45" i="5"/>
  <c r="N45" i="5"/>
  <c r="D17" i="5" l="1"/>
  <c r="D18" i="5" s="1"/>
  <c r="M13" i="1"/>
  <c r="I13" i="1"/>
  <c r="H53" i="5"/>
  <c r="J53" i="5" s="1"/>
  <c r="F53" i="5"/>
  <c r="Y41" i="1"/>
  <c r="N40" i="1"/>
  <c r="L40" i="1"/>
  <c r="Y51" i="5"/>
  <c r="AC44" i="5"/>
  <c r="J43" i="1"/>
  <c r="N46" i="5"/>
  <c r="L46" i="5"/>
  <c r="AF37" i="1"/>
  <c r="M16" i="5"/>
  <c r="H44" i="1"/>
  <c r="J44" i="1" s="1"/>
  <c r="F44" i="1"/>
  <c r="AF38" i="1"/>
  <c r="J17" i="5"/>
  <c r="M17" i="5" s="1"/>
  <c r="O45" i="5"/>
  <c r="AC45" i="5" s="1"/>
  <c r="J52" i="5"/>
  <c r="Y42" i="1"/>
  <c r="J14" i="1"/>
  <c r="O39" i="1"/>
  <c r="M10" i="5" l="1"/>
  <c r="D16" i="5"/>
  <c r="O38" i="5"/>
  <c r="K52" i="5"/>
  <c r="V52" i="5"/>
  <c r="V44" i="1"/>
  <c r="N19" i="1"/>
  <c r="K44" i="1"/>
  <c r="J15" i="1"/>
  <c r="O40" i="1"/>
  <c r="AC40" i="1" s="1"/>
  <c r="AC39" i="1"/>
  <c r="AF45" i="5"/>
  <c r="H45" i="1"/>
  <c r="F45" i="1"/>
  <c r="F46" i="1" s="1"/>
  <c r="F47" i="1" s="1"/>
  <c r="F48" i="1" s="1"/>
  <c r="N47" i="5"/>
  <c r="L47" i="5"/>
  <c r="N18" i="1"/>
  <c r="K43" i="1"/>
  <c r="V43" i="1"/>
  <c r="I14" i="1"/>
  <c r="M14" i="1"/>
  <c r="AF44" i="5"/>
  <c r="L41" i="1"/>
  <c r="N41" i="1"/>
  <c r="H54" i="5"/>
  <c r="J54" i="5" s="1"/>
  <c r="F54" i="5"/>
  <c r="J18" i="5"/>
  <c r="M18" i="5" s="1"/>
  <c r="O46" i="5"/>
  <c r="AC46" i="5" s="1"/>
  <c r="V53" i="5"/>
  <c r="K53" i="5"/>
  <c r="Y44" i="1" l="1"/>
  <c r="J16" i="1"/>
  <c r="O41" i="1"/>
  <c r="O47" i="5"/>
  <c r="AC47" i="5" s="1"/>
  <c r="J19" i="5"/>
  <c r="M19" i="5" s="1"/>
  <c r="AF40" i="1"/>
  <c r="Y52" i="5"/>
  <c r="AF46" i="5"/>
  <c r="N42" i="1"/>
  <c r="L42" i="1"/>
  <c r="J45" i="1"/>
  <c r="H53" i="1"/>
  <c r="AF39" i="1"/>
  <c r="H55" i="5"/>
  <c r="J55" i="5" s="1"/>
  <c r="F55" i="5"/>
  <c r="Y43" i="1"/>
  <c r="N48" i="5"/>
  <c r="L48" i="5"/>
  <c r="M15" i="1"/>
  <c r="I15" i="1"/>
  <c r="Y53" i="5"/>
  <c r="K54" i="5"/>
  <c r="V54" i="5"/>
  <c r="F56" i="5" l="1"/>
  <c r="H56" i="5"/>
  <c r="AF47" i="5"/>
  <c r="M16" i="1"/>
  <c r="I16" i="1"/>
  <c r="J20" i="5"/>
  <c r="O48" i="5"/>
  <c r="V55" i="5"/>
  <c r="K55" i="5"/>
  <c r="O42" i="1"/>
  <c r="AC42" i="1" s="1"/>
  <c r="J17" i="1"/>
  <c r="Y54" i="5"/>
  <c r="L49" i="5"/>
  <c r="N49" i="5"/>
  <c r="K45" i="1"/>
  <c r="N20" i="1"/>
  <c r="N10" i="1" s="1"/>
  <c r="D17" i="1" s="1"/>
  <c r="V45" i="1"/>
  <c r="J53" i="1"/>
  <c r="J31" i="1"/>
  <c r="N43" i="1"/>
  <c r="L43" i="1"/>
  <c r="AC41" i="1"/>
  <c r="AC48" i="5" l="1"/>
  <c r="O43" i="1"/>
  <c r="J18" i="1"/>
  <c r="N50" i="5"/>
  <c r="L50" i="5"/>
  <c r="I17" i="1"/>
  <c r="M17" i="1"/>
  <c r="Y55" i="5"/>
  <c r="M20" i="5"/>
  <c r="J56" i="5"/>
  <c r="H59" i="5"/>
  <c r="AF41" i="1"/>
  <c r="N44" i="1"/>
  <c r="L44" i="1"/>
  <c r="Y45" i="1"/>
  <c r="V51" i="1"/>
  <c r="X45" i="1" s="1"/>
  <c r="O49" i="5"/>
  <c r="AC49" i="5" s="1"/>
  <c r="J21" i="5"/>
  <c r="M21" i="5" s="1"/>
  <c r="AF42" i="1"/>
  <c r="M10" i="1"/>
  <c r="D18" i="1"/>
  <c r="O35" i="1"/>
  <c r="D16" i="1"/>
  <c r="N51" i="5" l="1"/>
  <c r="L51" i="5"/>
  <c r="O51" i="5" s="1"/>
  <c r="AC51" i="5" s="1"/>
  <c r="J22" i="5"/>
  <c r="O50" i="5"/>
  <c r="AC50" i="5" s="1"/>
  <c r="Y51" i="1"/>
  <c r="Z45" i="1" s="1"/>
  <c r="AF49" i="5"/>
  <c r="M18" i="1"/>
  <c r="I18" i="1"/>
  <c r="AF48" i="5"/>
  <c r="V56" i="5"/>
  <c r="K56" i="5"/>
  <c r="J34" i="5"/>
  <c r="J59" i="5"/>
  <c r="J19" i="1"/>
  <c r="O44" i="1"/>
  <c r="AC44" i="1" s="1"/>
  <c r="X39" i="1"/>
  <c r="X48" i="1"/>
  <c r="X47" i="1"/>
  <c r="X36" i="1"/>
  <c r="X46" i="1"/>
  <c r="X50" i="1"/>
  <c r="X49" i="1"/>
  <c r="X38" i="1"/>
  <c r="X37" i="1"/>
  <c r="X40" i="1"/>
  <c r="X41" i="1"/>
  <c r="X42" i="1"/>
  <c r="X44" i="1"/>
  <c r="X43" i="1"/>
  <c r="N45" i="1"/>
  <c r="L45" i="1"/>
  <c r="AC43" i="1"/>
  <c r="AF43" i="1" l="1"/>
  <c r="AF50" i="5"/>
  <c r="AF51" i="5"/>
  <c r="Y56" i="5"/>
  <c r="V57" i="5"/>
  <c r="X56" i="5" s="1"/>
  <c r="M22" i="5"/>
  <c r="D20" i="5" s="1"/>
  <c r="J23" i="5"/>
  <c r="M23" i="5" s="1"/>
  <c r="N52" i="5"/>
  <c r="L52" i="5"/>
  <c r="O52" i="5" s="1"/>
  <c r="AC52" i="5" s="1"/>
  <c r="Z36" i="1"/>
  <c r="Z50" i="1"/>
  <c r="Z39" i="1"/>
  <c r="Z47" i="1"/>
  <c r="Z46" i="1"/>
  <c r="Z48" i="1"/>
  <c r="Z49" i="1"/>
  <c r="Z37" i="1"/>
  <c r="Z38" i="1"/>
  <c r="Z40" i="1"/>
  <c r="Z41" i="1"/>
  <c r="Z42" i="1"/>
  <c r="Z43" i="1"/>
  <c r="Z44" i="1"/>
  <c r="J20" i="1"/>
  <c r="J21" i="1" s="1"/>
  <c r="O45" i="1"/>
  <c r="L53" i="1"/>
  <c r="X51" i="1"/>
  <c r="X52" i="1" s="1"/>
  <c r="AF44" i="1"/>
  <c r="M19" i="1"/>
  <c r="I19" i="1"/>
  <c r="D21" i="5" l="1"/>
  <c r="B32" i="5" s="1"/>
  <c r="P53" i="5"/>
  <c r="P54" i="5"/>
  <c r="P55" i="5"/>
  <c r="P56" i="5"/>
  <c r="Y57" i="5"/>
  <c r="Z51" i="1"/>
  <c r="Z52" i="1" s="1"/>
  <c r="AC45" i="1"/>
  <c r="O53" i="1"/>
  <c r="AF52" i="5"/>
  <c r="M20" i="1"/>
  <c r="M21" i="1" s="1"/>
  <c r="I20" i="1"/>
  <c r="L53" i="5"/>
  <c r="O53" i="5" s="1"/>
  <c r="AC53" i="5" s="1"/>
  <c r="N53" i="5"/>
  <c r="X54" i="5"/>
  <c r="X55" i="5"/>
  <c r="O31" i="1"/>
  <c r="O32" i="1" s="1"/>
  <c r="N54" i="5" l="1"/>
  <c r="L54" i="5"/>
  <c r="O54" i="5" s="1"/>
  <c r="AC54" i="5" s="1"/>
  <c r="AF53" i="5"/>
  <c r="Z53" i="5"/>
  <c r="Z54" i="5"/>
  <c r="Z55" i="5"/>
  <c r="Z56" i="5"/>
  <c r="AF45" i="1"/>
  <c r="AC51" i="1"/>
  <c r="D20" i="1"/>
  <c r="AE48" i="1" l="1"/>
  <c r="AE46" i="1"/>
  <c r="AE49" i="1"/>
  <c r="AE47" i="1"/>
  <c r="AE50" i="1"/>
  <c r="AE36" i="1"/>
  <c r="AE37" i="1"/>
  <c r="AE38" i="1"/>
  <c r="AE40" i="1"/>
  <c r="AE39" i="1"/>
  <c r="AE42" i="1"/>
  <c r="AE41" i="1"/>
  <c r="AE43" i="1"/>
  <c r="AE44" i="1"/>
  <c r="AE45" i="1"/>
  <c r="AF51" i="1"/>
  <c r="AF54" i="5"/>
  <c r="P36" i="1"/>
  <c r="P38" i="1"/>
  <c r="P37" i="1"/>
  <c r="P50" i="1"/>
  <c r="D21" i="1"/>
  <c r="P39" i="1"/>
  <c r="P40" i="1"/>
  <c r="P42" i="1"/>
  <c r="P41" i="1"/>
  <c r="P44" i="1"/>
  <c r="P43" i="1"/>
  <c r="P45" i="1"/>
  <c r="N55" i="5"/>
  <c r="L55" i="5"/>
  <c r="O55" i="5" s="1"/>
  <c r="AC55" i="5" s="1"/>
  <c r="B29" i="1" l="1"/>
  <c r="D23" i="1" s="1"/>
  <c r="AG50" i="1"/>
  <c r="AG47" i="1"/>
  <c r="AG48" i="1"/>
  <c r="AG46" i="1"/>
  <c r="AG36" i="1"/>
  <c r="AG49" i="1"/>
  <c r="AG37" i="1"/>
  <c r="AG38" i="1"/>
  <c r="AG40" i="1"/>
  <c r="AG39" i="1"/>
  <c r="AG41" i="1"/>
  <c r="AG42" i="1"/>
  <c r="AG43" i="1"/>
  <c r="AG44" i="1"/>
  <c r="AE51" i="1"/>
  <c r="AE52" i="1" s="1"/>
  <c r="AF55" i="5"/>
  <c r="L56" i="5"/>
  <c r="P35" i="1"/>
  <c r="AG45" i="1"/>
  <c r="L59" i="5" l="1"/>
  <c r="M56" i="5"/>
  <c r="AG51" i="1"/>
  <c r="AG52" i="1" s="1"/>
  <c r="D22" i="1" s="1"/>
  <c r="M59" i="5" l="1"/>
  <c r="N56" i="5"/>
  <c r="O56" i="5"/>
  <c r="AC56" i="5" l="1"/>
  <c r="O59" i="5"/>
  <c r="O34" i="5"/>
  <c r="O35" i="5" s="1"/>
  <c r="AF56" i="5" l="1"/>
  <c r="AC57" i="5"/>
  <c r="X40" i="5" l="1"/>
  <c r="X39" i="5"/>
  <c r="X41" i="5"/>
  <c r="X47" i="5"/>
  <c r="AE39" i="5"/>
  <c r="X44" i="5"/>
  <c r="X42" i="5"/>
  <c r="X48" i="5"/>
  <c r="AE41" i="5"/>
  <c r="X46" i="5"/>
  <c r="X45" i="5"/>
  <c r="X43" i="5"/>
  <c r="AE42" i="5"/>
  <c r="AE43" i="5"/>
  <c r="X50" i="5"/>
  <c r="AE40" i="5"/>
  <c r="X49" i="5"/>
  <c r="X51" i="5"/>
  <c r="AE44" i="5"/>
  <c r="AE45" i="5"/>
  <c r="AE46" i="5"/>
  <c r="X52" i="5"/>
  <c r="X53" i="5"/>
  <c r="AE47" i="5"/>
  <c r="AE48" i="5"/>
  <c r="AE49" i="5"/>
  <c r="AE51" i="5"/>
  <c r="AE50" i="5"/>
  <c r="AE52" i="5"/>
  <c r="AE53" i="5"/>
  <c r="AE54" i="5"/>
  <c r="AE55" i="5"/>
  <c r="AF57" i="5"/>
  <c r="AE56" i="5"/>
  <c r="X57" i="5" l="1"/>
  <c r="X58" i="5" s="1"/>
  <c r="Z42" i="5"/>
  <c r="Z41" i="5"/>
  <c r="Z39" i="5"/>
  <c r="Z47" i="5"/>
  <c r="Z44" i="5"/>
  <c r="Z40" i="5"/>
  <c r="AG39" i="5"/>
  <c r="Z46" i="5"/>
  <c r="Z48" i="5"/>
  <c r="Z45" i="5"/>
  <c r="Z43" i="5"/>
  <c r="AG41" i="5"/>
  <c r="AG42" i="5"/>
  <c r="Z49" i="5"/>
  <c r="AG40" i="5"/>
  <c r="Z50" i="5"/>
  <c r="AG43" i="5"/>
  <c r="Z51" i="5"/>
  <c r="AG45" i="5"/>
  <c r="AG44" i="5"/>
  <c r="Z52" i="5"/>
  <c r="AG46" i="5"/>
  <c r="AG47" i="5"/>
  <c r="AG48" i="5"/>
  <c r="AG49" i="5"/>
  <c r="AG51" i="5"/>
  <c r="AG50" i="5"/>
  <c r="AG52" i="5"/>
  <c r="AG53" i="5"/>
  <c r="AG54" i="5"/>
  <c r="AG55" i="5"/>
  <c r="AG56" i="5"/>
  <c r="AE57" i="5"/>
  <c r="AE58" i="5" s="1"/>
  <c r="AG57" i="5" l="1"/>
  <c r="AG58" i="5" s="1"/>
  <c r="D22" i="5" s="1"/>
  <c r="Z57" i="5"/>
  <c r="Z58" i="5" s="1"/>
</calcChain>
</file>

<file path=xl/comments1.xml><?xml version="1.0" encoding="utf-8"?>
<comments xmlns="http://schemas.openxmlformats.org/spreadsheetml/2006/main">
  <authors>
    <author>Mauro Jorge Zambon</author>
    <author>Estanislao Iturbe</author>
  </authors>
  <commentList>
    <comment ref="D14" authorId="0" shapeId="0">
      <text>
        <r>
          <rPr>
            <b/>
            <sz val="10"/>
            <color indexed="81"/>
            <rFont val="Calibri"/>
            <family val="2"/>
          </rPr>
          <t>Ingrese aquí</t>
        </r>
        <r>
          <rPr>
            <sz val="10"/>
            <color indexed="81"/>
            <rFont val="Calibri"/>
            <family val="2"/>
          </rPr>
          <t xml:space="preserve"> TIR a licitar</t>
        </r>
      </text>
    </comment>
    <comment ref="H32" authorId="1" shapeId="0">
      <text>
        <r>
          <rPr>
            <b/>
            <sz val="9"/>
            <color indexed="81"/>
            <rFont val="Tahoma"/>
            <family val="2"/>
          </rPr>
          <t>Tasa utilizada para efectuar el cuadro de pago de servicios teórico.</t>
        </r>
        <r>
          <rPr>
            <sz val="9"/>
            <color indexed="81"/>
            <rFont val="Tahoma"/>
            <family val="2"/>
          </rPr>
          <t xml:space="preserve">
</t>
        </r>
      </text>
    </comment>
  </commentList>
</comments>
</file>

<file path=xl/comments2.xml><?xml version="1.0" encoding="utf-8"?>
<comments xmlns="http://schemas.openxmlformats.org/spreadsheetml/2006/main">
  <authors>
    <author>Mauro Jorge Zambon</author>
    <author>Estanislao Iturbe</author>
  </authors>
  <commentList>
    <comment ref="D14" authorId="0" shapeId="0">
      <text>
        <r>
          <rPr>
            <sz val="10"/>
            <color indexed="81"/>
            <rFont val="Calibri"/>
            <family val="2"/>
          </rPr>
          <t>Sr. Inversor,</t>
        </r>
        <r>
          <rPr>
            <b/>
            <sz val="10"/>
            <color indexed="81"/>
            <rFont val="Calibri"/>
            <family val="2"/>
          </rPr>
          <t xml:space="preserve"> ingrese aquí</t>
        </r>
        <r>
          <rPr>
            <sz val="10"/>
            <color indexed="81"/>
            <rFont val="Calibri"/>
            <family val="2"/>
          </rPr>
          <t xml:space="preserve"> TIR a licitar.</t>
        </r>
      </text>
    </comment>
    <comment ref="H35" authorId="1" shapeId="0">
      <text>
        <r>
          <rPr>
            <b/>
            <sz val="9"/>
            <color indexed="81"/>
            <rFont val="Tahoma"/>
            <family val="2"/>
          </rPr>
          <t>Tasa utilizada para efectuar el cuadro de pago de servicios teórico.</t>
        </r>
        <r>
          <rPr>
            <sz val="9"/>
            <color indexed="81"/>
            <rFont val="Tahoma"/>
            <family val="2"/>
          </rPr>
          <t xml:space="preserve">
</t>
        </r>
      </text>
    </comment>
  </commentList>
</comments>
</file>

<file path=xl/sharedStrings.xml><?xml version="1.0" encoding="utf-8"?>
<sst xmlns="http://schemas.openxmlformats.org/spreadsheetml/2006/main" count="165" uniqueCount="67">
  <si>
    <t>Fecha</t>
  </si>
  <si>
    <t>Saldo Inicio Senior</t>
  </si>
  <si>
    <t>Flujo Senior</t>
  </si>
  <si>
    <t>Flujos proyectados a la tasa piso de:</t>
  </si>
  <si>
    <t>Cupon Activado</t>
  </si>
  <si>
    <t>Totales</t>
  </si>
  <si>
    <t>Interés</t>
  </si>
  <si>
    <t>Capital</t>
  </si>
  <si>
    <t>Capital Modif.</t>
  </si>
  <si>
    <t>Flujo Total</t>
  </si>
  <si>
    <t>TIR</t>
  </si>
  <si>
    <t>TNA</t>
  </si>
  <si>
    <t>Dif de tasas</t>
  </si>
  <si>
    <t>BASE</t>
  </si>
  <si>
    <t>Deveng</t>
  </si>
  <si>
    <t>Maturity</t>
  </si>
  <si>
    <t>Bono A</t>
  </si>
  <si>
    <t>V$N</t>
  </si>
  <si>
    <t>Total</t>
  </si>
  <si>
    <t>Vida Promedio</t>
  </si>
  <si>
    <t>Duration Años</t>
  </si>
  <si>
    <t>Duration Meses</t>
  </si>
  <si>
    <t>Liquidación</t>
  </si>
  <si>
    <t>VDF A</t>
  </si>
  <si>
    <t>Min</t>
  </si>
  <si>
    <t>Max</t>
  </si>
  <si>
    <t>Integracion</t>
  </si>
  <si>
    <t>VDF "A"</t>
  </si>
  <si>
    <t>VN:</t>
  </si>
  <si>
    <t>Minimo:</t>
  </si>
  <si>
    <t>Maximo:</t>
  </si>
  <si>
    <t>Margen s/ Prospecto (bp):</t>
  </si>
  <si>
    <t>Tasa a Licitar:</t>
  </si>
  <si>
    <t>Tasa de ref. (TNA):</t>
  </si>
  <si>
    <t>Licita TIR</t>
  </si>
  <si>
    <t>Fechas de Pago</t>
  </si>
  <si>
    <t>VN a Licitar</t>
  </si>
  <si>
    <t>V$N a Integrar:</t>
  </si>
  <si>
    <t>TIR real:</t>
  </si>
  <si>
    <t>TNA real:</t>
  </si>
  <si>
    <t>Fecha de Integracion:</t>
  </si>
  <si>
    <t>Pesos a Integrar ($):</t>
  </si>
  <si>
    <t>VAN ($):</t>
  </si>
  <si>
    <t>Duration Real (meses):</t>
  </si>
  <si>
    <t>Badlar Proyectada:</t>
  </si>
  <si>
    <t>FLUJO TOTAL</t>
  </si>
  <si>
    <t>INTERÉS</t>
  </si>
  <si>
    <t>CAPITAL</t>
  </si>
  <si>
    <t>FLUJO SENIOR</t>
  </si>
  <si>
    <t>SALDO SENIOR</t>
  </si>
  <si>
    <t>(según BADLAR proyectada)</t>
  </si>
  <si>
    <t>La información contenida en el siguiente cuadro ha sido proporcionada por el Fiduciante y ha sido puesta a disposición de los eventuales inversores solamente para su uso en relación con el análisis de la compra de los VDF. Los potenciales inversores de los VDF deberán analizar por su propia cuenta cuidadosamente toda esta información y, asimismo, analizar detenidamente y tomar en cuenta toda la información contenida en el Suplemento de Prospecto, en particular, las Consideraciones de Riesgo para la Inversión.  Todo eventual inversor que contemple la adquisición de VDF deberá realizar, antes de decidir dicha adquisición, su propia investigación y análisis sobre los términos y condiciones de los VDF, incluyendo los beneficios y riesgos inherentes a dicha decisión de inversión y las consecuencias impositivas y legales de dicha adquisición. Teniendo en cuenta sus propias circunstancias y condición financiera, los potenciales inversores deben tomar todos los recaudos que razonablemente estimen necesarios antes de realizar su inversión.</t>
  </si>
  <si>
    <t>Precio (V$N %):</t>
  </si>
  <si>
    <t>CALCULO DURATION A TASA PISO</t>
  </si>
  <si>
    <t>CALCULO DURATION A CUPON ACTIVADO</t>
  </si>
  <si>
    <t>VDF "B"</t>
  </si>
  <si>
    <t>% amor</t>
  </si>
  <si>
    <t>Saldo</t>
  </si>
  <si>
    <t>MARGEN</t>
  </si>
  <si>
    <t>Fecha de devengamiento:</t>
  </si>
  <si>
    <t>Calificación (S&amp;P):</t>
  </si>
  <si>
    <t>AA</t>
  </si>
  <si>
    <t>BBB</t>
  </si>
  <si>
    <t>Spread TNA/Badlar:</t>
  </si>
  <si>
    <t>VDF B</t>
  </si>
  <si>
    <t>Fideicomiso Financiero TARJETA FERTIL 15</t>
  </si>
  <si>
    <t>VN: $ 110.784.669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</si>
</sst>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quot;$&quot;\ * #,##0.00_ ;_ &quot;$&quot;\ * \-#,##0.00_ ;_ &quot;$&quot;\ * &quot;-&quot;??_ ;_ @_ "/>
    <numFmt numFmtId="165" formatCode="_ * #,##0.00_ ;_ * \-#,##0.00_ ;_ * &quot;-&quot;??_ ;_ @_ "/>
    <numFmt numFmtId="166" formatCode="0.0000%"/>
    <numFmt numFmtId="167" formatCode="0.0%"/>
    <numFmt numFmtId="168" formatCode="#,##0;[Red]\(#,##0\)"/>
    <numFmt numFmtId="169" formatCode="_ * #,##0_ ;_ * \-#,##0_ ;_ * &quot;-&quot;??_ ;_ @_ "/>
    <numFmt numFmtId="170" formatCode="_-* #,##0_-;\-* #,##0_-;_-* &quot;-&quot;??_-;_-@_-"/>
    <numFmt numFmtId="171" formatCode="0.000000"/>
    <numFmt numFmtId="172" formatCode="_-* #,##0.0000_-;\-* #,##0.0000_-;_-* &quot;-&quot;??_-;_-@_-"/>
    <numFmt numFmtId="173" formatCode="#,##0.000"/>
    <numFmt numFmtId="174" formatCode="dd\-mmm\-yy;@"/>
    <numFmt numFmtId="175" formatCode="#,##0.0000"/>
    <numFmt numFmtId="176" formatCode="#,##0.00;[Red]\(#,##0.00\)"/>
    <numFmt numFmtId="177" formatCode="#,##0.000000"/>
  </numFmts>
  <fonts count="40" x14ac:knownFonts="1">
    <font>
      <sz val="11"/>
      <color theme="1"/>
      <name val="Calibri"/>
      <family val="2"/>
      <scheme val="minor"/>
    </font>
    <font>
      <b/>
      <sz val="10"/>
      <name val="Arial Narrow"/>
      <family val="2"/>
    </font>
    <font>
      <sz val="10"/>
      <name val="Arial"/>
      <family val="2"/>
    </font>
    <font>
      <b/>
      <sz val="10"/>
      <name val="Arial"/>
      <family val="2"/>
    </font>
    <font>
      <b/>
      <sz val="12"/>
      <name val="Arial Narrow"/>
      <family val="2"/>
    </font>
    <font>
      <b/>
      <sz val="11"/>
      <name val="Arial Narrow"/>
      <family val="2"/>
    </font>
    <font>
      <sz val="10"/>
      <name val="Arial Narrow"/>
      <family val="2"/>
    </font>
    <font>
      <b/>
      <sz val="11"/>
      <name val="Arial"/>
      <family val="2"/>
    </font>
    <font>
      <sz val="9"/>
      <color indexed="81"/>
      <name val="Tahoma"/>
      <family val="2"/>
    </font>
    <font>
      <b/>
      <sz val="9"/>
      <color indexed="81"/>
      <name val="Tahoma"/>
      <family val="2"/>
    </font>
    <font>
      <sz val="10"/>
      <color indexed="8"/>
      <name val="Arial"/>
      <family val="2"/>
    </font>
    <font>
      <sz val="12"/>
      <name val="Arial Narrow"/>
      <family val="2"/>
    </font>
    <font>
      <sz val="10"/>
      <color indexed="81"/>
      <name val="Calibri"/>
      <family val="2"/>
    </font>
    <font>
      <b/>
      <sz val="10"/>
      <color indexed="81"/>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sz val="10"/>
      <color theme="0"/>
      <name val="Arial Narrow"/>
      <family val="2"/>
    </font>
    <font>
      <sz val="12"/>
      <color theme="3"/>
      <name val="Times New Roman"/>
      <family val="1"/>
    </font>
    <font>
      <sz val="12"/>
      <name val="Calibri"/>
      <family val="2"/>
      <scheme val="minor"/>
    </font>
    <font>
      <b/>
      <sz val="12"/>
      <color theme="3"/>
      <name val="Times New Roman"/>
      <family val="1"/>
    </font>
    <font>
      <sz val="12"/>
      <color theme="0"/>
      <name val="Arial Narrow"/>
      <family val="2"/>
    </font>
    <font>
      <b/>
      <sz val="12"/>
      <name val="Calibri"/>
      <family val="2"/>
      <scheme val="minor"/>
    </font>
    <font>
      <sz val="12"/>
      <color rgb="FFFF0000"/>
      <name val="Calibri"/>
      <family val="2"/>
      <scheme val="minor"/>
    </font>
    <font>
      <b/>
      <sz val="12"/>
      <color theme="1"/>
      <name val="Calibri"/>
      <family val="2"/>
      <scheme val="minor"/>
    </font>
    <font>
      <sz val="8"/>
      <name val="Calibri"/>
      <family val="2"/>
      <scheme val="minor"/>
    </font>
    <font>
      <sz val="12"/>
      <color theme="1"/>
      <name val="Calibri"/>
      <family val="2"/>
      <scheme val="minor"/>
    </font>
    <font>
      <sz val="10"/>
      <color indexed="8"/>
      <name val="Calibri"/>
      <family val="2"/>
      <scheme val="minor"/>
    </font>
    <font>
      <b/>
      <sz val="14"/>
      <color theme="3"/>
      <name val="Calibri"/>
      <family val="2"/>
      <scheme val="minor"/>
    </font>
    <font>
      <sz val="10"/>
      <name val="Calibri"/>
      <family val="2"/>
      <scheme val="minor"/>
    </font>
    <font>
      <b/>
      <sz val="12"/>
      <color theme="3"/>
      <name val="Calibri"/>
      <family val="2"/>
      <scheme val="minor"/>
    </font>
    <font>
      <b/>
      <sz val="10"/>
      <color rgb="FFFF0000"/>
      <name val="Arial Narrow"/>
      <family val="2"/>
    </font>
    <font>
      <b/>
      <sz val="10"/>
      <name val="Calibri"/>
      <family val="2"/>
      <scheme val="minor"/>
    </font>
    <font>
      <b/>
      <u/>
      <sz val="10"/>
      <name val="Calibri"/>
      <family val="2"/>
      <scheme val="minor"/>
    </font>
    <font>
      <b/>
      <sz val="16"/>
      <color theme="3"/>
      <name val="Calibri"/>
      <family val="2"/>
      <scheme val="minor"/>
    </font>
    <font>
      <b/>
      <sz val="16"/>
      <color theme="1"/>
      <name val="Calibri"/>
      <family val="2"/>
      <scheme val="minor"/>
    </font>
    <font>
      <b/>
      <sz val="21"/>
      <color theme="3"/>
      <name val="Calibri"/>
      <family val="2"/>
      <scheme val="minor"/>
    </font>
    <font>
      <sz val="9"/>
      <color rgb="FF262626"/>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s>
  <borders count="45">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theme="3"/>
      </left>
      <right/>
      <top/>
      <bottom/>
      <diagonal/>
    </border>
    <border>
      <left style="medium">
        <color theme="3"/>
      </left>
      <right/>
      <top/>
      <bottom style="thin">
        <color indexed="64"/>
      </bottom>
      <diagonal/>
    </border>
  </borders>
  <cellStyleXfs count="5">
    <xf numFmtId="0" fontId="0" fillId="0" borderId="0"/>
    <xf numFmtId="165"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cellStyleXfs>
  <cellXfs count="318">
    <xf numFmtId="0" fontId="0" fillId="0" borderId="0" xfId="0"/>
    <xf numFmtId="3" fontId="18" fillId="6" borderId="0" xfId="0" applyNumberFormat="1" applyFont="1" applyFill="1" applyBorder="1" applyAlignment="1" applyProtection="1">
      <alignment horizontal="center"/>
    </xf>
    <xf numFmtId="3" fontId="6" fillId="6" borderId="0" xfId="0" applyNumberFormat="1" applyFont="1" applyFill="1" applyBorder="1" applyAlignment="1" applyProtection="1">
      <alignment horizontal="center"/>
    </xf>
    <xf numFmtId="166" fontId="2" fillId="7" borderId="13" xfId="4" applyNumberFormat="1" applyFont="1" applyFill="1" applyBorder="1" applyAlignment="1" applyProtection="1">
      <alignment horizontal="center"/>
    </xf>
    <xf numFmtId="3" fontId="19" fillId="8" borderId="14" xfId="0" applyNumberFormat="1" applyFont="1" applyFill="1" applyBorder="1" applyAlignment="1" applyProtection="1">
      <alignment horizontal="center"/>
    </xf>
    <xf numFmtId="10" fontId="3" fillId="0" borderId="17" xfId="4" applyNumberFormat="1" applyFont="1" applyFill="1" applyBorder="1" applyAlignment="1" applyProtection="1">
      <alignment horizontal="center"/>
    </xf>
    <xf numFmtId="3" fontId="18" fillId="6" borderId="3" xfId="0" applyNumberFormat="1" applyFont="1" applyFill="1" applyBorder="1" applyAlignment="1" applyProtection="1">
      <alignment horizontal="center"/>
    </xf>
    <xf numFmtId="174" fontId="29" fillId="10" borderId="0" xfId="0" applyNumberFormat="1" applyFont="1" applyFill="1" applyBorder="1" applyAlignment="1" applyProtection="1">
      <alignment horizontal="center" vertical="center"/>
    </xf>
    <xf numFmtId="174" fontId="29" fillId="10" borderId="19" xfId="0" applyNumberFormat="1" applyFont="1" applyFill="1" applyBorder="1" applyAlignment="1" applyProtection="1">
      <alignment horizontal="center" vertical="center"/>
    </xf>
    <xf numFmtId="3" fontId="19" fillId="8" borderId="22" xfId="0" applyNumberFormat="1" applyFont="1" applyFill="1" applyBorder="1" applyAlignment="1" applyProtection="1">
      <alignment horizontal="center"/>
    </xf>
    <xf numFmtId="174" fontId="29" fillId="0" borderId="15" xfId="0" applyNumberFormat="1" applyFont="1" applyFill="1" applyBorder="1" applyAlignment="1" applyProtection="1">
      <alignment horizontal="center" vertical="center"/>
    </xf>
    <xf numFmtId="174" fontId="29" fillId="0" borderId="29" xfId="0" applyNumberFormat="1" applyFont="1" applyFill="1" applyBorder="1" applyAlignment="1" applyProtection="1">
      <alignment horizontal="center" vertical="center"/>
    </xf>
    <xf numFmtId="10" fontId="29" fillId="0" borderId="13" xfId="4" applyNumberFormat="1" applyFont="1" applyBorder="1" applyAlignment="1" applyProtection="1">
      <alignment horizontal="center" vertical="center"/>
    </xf>
    <xf numFmtId="3" fontId="19" fillId="8" borderId="17" xfId="0" applyNumberFormat="1" applyFont="1" applyFill="1" applyBorder="1" applyAlignment="1" applyProtection="1">
      <alignment horizontal="center"/>
    </xf>
    <xf numFmtId="3" fontId="19" fillId="8" borderId="28" xfId="0" applyNumberFormat="1" applyFont="1" applyFill="1" applyBorder="1" applyAlignment="1" applyProtection="1">
      <alignment horizontal="center"/>
    </xf>
    <xf numFmtId="10" fontId="29" fillId="5" borderId="0" xfId="4" applyNumberFormat="1" applyFont="1" applyFill="1" applyBorder="1" applyAlignment="1" applyProtection="1">
      <alignment horizontal="center" vertical="center"/>
    </xf>
    <xf numFmtId="10" fontId="29" fillId="5" borderId="19" xfId="4" applyNumberFormat="1" applyFont="1" applyFill="1" applyBorder="1" applyAlignment="1" applyProtection="1">
      <alignment horizontal="center" vertical="center"/>
    </xf>
    <xf numFmtId="3" fontId="23" fillId="8" borderId="33" xfId="0" applyNumberFormat="1" applyFont="1" applyFill="1" applyBorder="1" applyAlignment="1" applyProtection="1">
      <alignment horizontal="center"/>
    </xf>
    <xf numFmtId="3" fontId="23" fillId="8" borderId="34" xfId="0" applyNumberFormat="1" applyFont="1" applyFill="1" applyBorder="1" applyAlignment="1" applyProtection="1">
      <alignment horizontal="center"/>
    </xf>
    <xf numFmtId="0" fontId="18" fillId="5" borderId="0" xfId="0" applyFont="1" applyFill="1" applyBorder="1" applyProtection="1"/>
    <xf numFmtId="0" fontId="15" fillId="5" borderId="0" xfId="0" applyFont="1" applyFill="1" applyBorder="1" applyProtection="1"/>
    <xf numFmtId="3" fontId="15" fillId="5" borderId="0" xfId="0" applyNumberFormat="1" applyFont="1" applyFill="1" applyBorder="1" applyAlignment="1" applyProtection="1">
      <alignment horizontal="center"/>
    </xf>
    <xf numFmtId="3" fontId="18" fillId="6" borderId="0" xfId="0" applyNumberFormat="1" applyFont="1" applyFill="1" applyAlignment="1" applyProtection="1">
      <alignment horizontal="center"/>
    </xf>
    <xf numFmtId="0" fontId="18" fillId="6" borderId="0" xfId="0" applyFont="1" applyFill="1" applyBorder="1" applyProtection="1"/>
    <xf numFmtId="0" fontId="18" fillId="6" borderId="0" xfId="0" applyFont="1" applyFill="1" applyProtection="1"/>
    <xf numFmtId="0" fontId="0" fillId="0" borderId="0" xfId="0" applyProtection="1"/>
    <xf numFmtId="164" fontId="18" fillId="5" borderId="0" xfId="2" applyFont="1" applyFill="1" applyBorder="1" applyAlignment="1" applyProtection="1"/>
    <xf numFmtId="167" fontId="18" fillId="5" borderId="0" xfId="4" applyNumberFormat="1" applyFont="1" applyFill="1" applyBorder="1" applyProtection="1"/>
    <xf numFmtId="0" fontId="30" fillId="5" borderId="0" xfId="0" applyFont="1" applyFill="1" applyBorder="1" applyAlignment="1" applyProtection="1">
      <alignment horizontal="center"/>
    </xf>
    <xf numFmtId="0" fontId="20" fillId="5" borderId="0" xfId="0" applyFont="1" applyFill="1" applyBorder="1" applyAlignment="1" applyProtection="1">
      <alignment horizontal="center"/>
    </xf>
    <xf numFmtId="0" fontId="20" fillId="5" borderId="0" xfId="0" applyFont="1" applyFill="1" applyBorder="1" applyAlignment="1" applyProtection="1">
      <alignment horizontal="right"/>
    </xf>
    <xf numFmtId="0" fontId="21" fillId="5" borderId="0" xfId="0" applyFont="1" applyFill="1" applyBorder="1" applyProtection="1"/>
    <xf numFmtId="10" fontId="22" fillId="5" borderId="0" xfId="0" applyNumberFormat="1" applyFont="1" applyFill="1" applyBorder="1" applyAlignment="1" applyProtection="1"/>
    <xf numFmtId="10" fontId="20" fillId="5" borderId="0" xfId="4" applyNumberFormat="1" applyFont="1" applyFill="1" applyBorder="1" applyAlignment="1" applyProtection="1">
      <alignment horizontal="right"/>
    </xf>
    <xf numFmtId="169" fontId="21" fillId="5" borderId="9" xfId="1" applyNumberFormat="1" applyFont="1" applyFill="1" applyBorder="1" applyAlignment="1" applyProtection="1">
      <alignment horizontal="center"/>
    </xf>
    <xf numFmtId="14" fontId="23" fillId="8" borderId="43" xfId="0" applyNumberFormat="1" applyFont="1" applyFill="1" applyBorder="1" applyAlignment="1" applyProtection="1">
      <alignment horizontal="center"/>
    </xf>
    <xf numFmtId="14" fontId="23" fillId="8" borderId="33" xfId="0" applyNumberFormat="1" applyFont="1" applyFill="1" applyBorder="1" applyAlignment="1" applyProtection="1">
      <alignment horizontal="center"/>
    </xf>
    <xf numFmtId="15" fontId="32" fillId="13" borderId="32" xfId="0" applyNumberFormat="1" applyFont="1" applyFill="1" applyBorder="1" applyAlignment="1" applyProtection="1">
      <alignment horizontal="center"/>
    </xf>
    <xf numFmtId="169" fontId="21" fillId="5" borderId="1" xfId="1" applyNumberFormat="1" applyFont="1" applyFill="1" applyBorder="1" applyAlignment="1" applyProtection="1">
      <alignment horizontal="center"/>
    </xf>
    <xf numFmtId="168" fontId="25" fillId="5" borderId="8" xfId="1" applyNumberFormat="1" applyFont="1" applyFill="1" applyBorder="1" applyAlignment="1" applyProtection="1">
      <alignment horizontal="center"/>
    </xf>
    <xf numFmtId="168" fontId="21" fillId="5" borderId="32" xfId="0" applyNumberFormat="1" applyFont="1" applyFill="1" applyBorder="1" applyAlignment="1" applyProtection="1">
      <alignment horizontal="center"/>
    </xf>
    <xf numFmtId="1" fontId="23" fillId="8" borderId="43" xfId="0" applyNumberFormat="1" applyFont="1" applyFill="1" applyBorder="1" applyProtection="1"/>
    <xf numFmtId="15" fontId="32" fillId="13" borderId="33" xfId="0" applyNumberFormat="1" applyFont="1" applyFill="1" applyBorder="1" applyAlignment="1" applyProtection="1">
      <alignment horizontal="center"/>
    </xf>
    <xf numFmtId="169" fontId="21" fillId="12" borderId="0" xfId="1" applyNumberFormat="1" applyFont="1" applyFill="1" applyBorder="1" applyAlignment="1" applyProtection="1">
      <alignment horizontal="center"/>
    </xf>
    <xf numFmtId="169" fontId="21" fillId="12" borderId="9" xfId="1" applyNumberFormat="1" applyFont="1" applyFill="1" applyBorder="1" applyAlignment="1" applyProtection="1">
      <alignment horizontal="center"/>
    </xf>
    <xf numFmtId="168" fontId="21" fillId="5" borderId="33" xfId="0" applyNumberFormat="1" applyFont="1" applyFill="1" applyBorder="1" applyAlignment="1" applyProtection="1">
      <alignment horizontal="center"/>
    </xf>
    <xf numFmtId="169" fontId="21" fillId="5" borderId="0" xfId="1" applyNumberFormat="1" applyFont="1" applyFill="1" applyBorder="1" applyAlignment="1" applyProtection="1">
      <alignment horizontal="center"/>
    </xf>
    <xf numFmtId="10" fontId="20" fillId="5" borderId="3" xfId="4" applyNumberFormat="1" applyFont="1" applyFill="1" applyBorder="1" applyAlignment="1" applyProtection="1">
      <alignment horizontal="right"/>
    </xf>
    <xf numFmtId="1" fontId="23" fillId="8" borderId="44" xfId="0" applyNumberFormat="1" applyFont="1" applyFill="1" applyBorder="1" applyProtection="1"/>
    <xf numFmtId="10" fontId="24" fillId="5" borderId="35" xfId="0" applyNumberFormat="1" applyFont="1" applyFill="1" applyBorder="1" applyAlignment="1" applyProtection="1">
      <alignment horizontal="center"/>
    </xf>
    <xf numFmtId="0" fontId="21" fillId="5" borderId="36" xfId="0" applyFont="1" applyFill="1" applyBorder="1" applyProtection="1"/>
    <xf numFmtId="168" fontId="24" fillId="5" borderId="37" xfId="0" applyNumberFormat="1" applyFont="1" applyFill="1" applyBorder="1" applyProtection="1"/>
    <xf numFmtId="168" fontId="24" fillId="5" borderId="38" xfId="0" applyNumberFormat="1" applyFont="1" applyFill="1" applyBorder="1" applyProtection="1"/>
    <xf numFmtId="168" fontId="21" fillId="5" borderId="34" xfId="0" applyNumberFormat="1" applyFont="1" applyFill="1" applyBorder="1" applyAlignment="1" applyProtection="1">
      <alignment horizontal="center"/>
    </xf>
    <xf numFmtId="3" fontId="18" fillId="5" borderId="0" xfId="0" applyNumberFormat="1" applyFont="1" applyFill="1" applyBorder="1" applyAlignment="1" applyProtection="1">
      <alignment horizontal="center"/>
    </xf>
    <xf numFmtId="0" fontId="18" fillId="5" borderId="15" xfId="0" applyFont="1" applyFill="1" applyBorder="1" applyProtection="1"/>
    <xf numFmtId="10" fontId="5" fillId="9" borderId="13" xfId="0" applyNumberFormat="1" applyFont="1" applyFill="1" applyBorder="1" applyAlignment="1" applyProtection="1">
      <alignment horizontal="left"/>
    </xf>
    <xf numFmtId="168" fontId="6" fillId="5" borderId="0" xfId="0" applyNumberFormat="1" applyFont="1" applyFill="1" applyBorder="1" applyProtection="1"/>
    <xf numFmtId="3" fontId="18" fillId="5" borderId="0" xfId="0" applyNumberFormat="1" applyFont="1" applyFill="1" applyAlignment="1" applyProtection="1">
      <alignment horizontal="center"/>
    </xf>
    <xf numFmtId="166" fontId="17" fillId="9" borderId="17" xfId="4" applyNumberFormat="1" applyFont="1" applyFill="1" applyBorder="1" applyAlignment="1" applyProtection="1">
      <alignment horizontal="center"/>
    </xf>
    <xf numFmtId="0" fontId="17" fillId="5" borderId="6" xfId="0" applyFont="1" applyFill="1" applyBorder="1" applyAlignment="1" applyProtection="1">
      <alignment horizontal="center"/>
    </xf>
    <xf numFmtId="3" fontId="2" fillId="5" borderId="0" xfId="0" applyNumberFormat="1" applyFont="1" applyFill="1" applyBorder="1" applyAlignment="1" applyProtection="1">
      <alignment horizontal="center"/>
    </xf>
    <xf numFmtId="3" fontId="17" fillId="10" borderId="22" xfId="0" applyNumberFormat="1" applyFont="1" applyFill="1" applyBorder="1" applyAlignment="1" applyProtection="1">
      <alignment horizontal="center"/>
    </xf>
    <xf numFmtId="10" fontId="4" fillId="5" borderId="6" xfId="0" applyNumberFormat="1" applyFont="1" applyFill="1" applyBorder="1" applyAlignment="1" applyProtection="1">
      <alignment horizontal="center"/>
    </xf>
    <xf numFmtId="0" fontId="18" fillId="5" borderId="6" xfId="0" applyFont="1" applyFill="1" applyBorder="1" applyProtection="1"/>
    <xf numFmtId="0" fontId="18" fillId="5" borderId="6" xfId="0" applyFont="1" applyFill="1" applyBorder="1" applyAlignment="1" applyProtection="1">
      <alignment horizontal="center"/>
    </xf>
    <xf numFmtId="166" fontId="18" fillId="5" borderId="28" xfId="4" applyNumberFormat="1" applyFont="1" applyFill="1" applyBorder="1" applyAlignment="1" applyProtection="1">
      <alignment horizontal="center"/>
    </xf>
    <xf numFmtId="10" fontId="5" fillId="5" borderId="12" xfId="0" applyNumberFormat="1" applyFont="1" applyFill="1" applyBorder="1" applyAlignment="1" applyProtection="1">
      <alignment horizontal="center"/>
    </xf>
    <xf numFmtId="166" fontId="18" fillId="5" borderId="6" xfId="4" applyNumberFormat="1" applyFont="1" applyFill="1" applyBorder="1" applyAlignment="1" applyProtection="1">
      <alignment horizontal="center"/>
    </xf>
    <xf numFmtId="0" fontId="0" fillId="5" borderId="7" xfId="0" applyFill="1" applyBorder="1" applyAlignment="1" applyProtection="1">
      <alignment horizontal="center"/>
    </xf>
    <xf numFmtId="0" fontId="0" fillId="2" borderId="28" xfId="0" applyFill="1" applyBorder="1" applyProtection="1"/>
    <xf numFmtId="14" fontId="14" fillId="2" borderId="5" xfId="1" applyNumberFormat="1" applyFont="1" applyFill="1" applyBorder="1" applyProtection="1"/>
    <xf numFmtId="3" fontId="2" fillId="6" borderId="1" xfId="0" applyNumberFormat="1" applyFont="1" applyFill="1" applyBorder="1" applyAlignment="1" applyProtection="1">
      <alignment horizontal="center"/>
    </xf>
    <xf numFmtId="0" fontId="18" fillId="6" borderId="1" xfId="0" applyFont="1" applyFill="1" applyBorder="1" applyProtection="1"/>
    <xf numFmtId="0" fontId="18" fillId="6" borderId="8" xfId="0" applyFont="1" applyFill="1" applyBorder="1" applyProtection="1"/>
    <xf numFmtId="0" fontId="27" fillId="5" borderId="15" xfId="0" applyFont="1" applyFill="1" applyBorder="1" applyProtection="1"/>
    <xf numFmtId="15" fontId="33" fillId="10" borderId="7" xfId="0" applyNumberFormat="1" applyFont="1" applyFill="1" applyBorder="1" applyAlignment="1" applyProtection="1">
      <alignment horizontal="center"/>
    </xf>
    <xf numFmtId="15" fontId="1" fillId="7" borderId="13" xfId="0" applyNumberFormat="1" applyFont="1" applyFill="1" applyBorder="1" applyAlignment="1" applyProtection="1">
      <alignment horizontal="center"/>
    </xf>
    <xf numFmtId="0" fontId="17" fillId="5" borderId="0" xfId="0" applyFont="1" applyFill="1" applyBorder="1" applyAlignment="1" applyProtection="1">
      <alignment horizontal="center"/>
    </xf>
    <xf numFmtId="3" fontId="1" fillId="5" borderId="0" xfId="0" applyNumberFormat="1" applyFont="1" applyFill="1" applyBorder="1" applyAlignment="1" applyProtection="1">
      <alignment horizontal="center"/>
    </xf>
    <xf numFmtId="166" fontId="17" fillId="5" borderId="0" xfId="4" applyNumberFormat="1" applyFont="1" applyFill="1" applyBorder="1" applyAlignment="1" applyProtection="1">
      <alignment horizontal="center"/>
    </xf>
    <xf numFmtId="0" fontId="18" fillId="5" borderId="16" xfId="0" applyFont="1" applyFill="1" applyBorder="1" applyProtection="1"/>
    <xf numFmtId="10" fontId="1" fillId="5" borderId="0" xfId="0" applyNumberFormat="1" applyFont="1" applyFill="1" applyBorder="1" applyAlignment="1" applyProtection="1">
      <alignment horizontal="left"/>
    </xf>
    <xf numFmtId="0" fontId="31" fillId="5" borderId="0" xfId="0" applyFont="1" applyFill="1" applyBorder="1" applyProtection="1"/>
    <xf numFmtId="3" fontId="31" fillId="5" borderId="0" xfId="0" applyNumberFormat="1" applyFont="1" applyFill="1" applyBorder="1" applyAlignment="1" applyProtection="1">
      <alignment horizontal="center"/>
    </xf>
    <xf numFmtId="3" fontId="18" fillId="6" borderId="0" xfId="0" applyNumberFormat="1" applyFont="1" applyFill="1" applyBorder="1" applyProtection="1"/>
    <xf numFmtId="167" fontId="2" fillId="6" borderId="0" xfId="4" applyNumberFormat="1" applyFont="1" applyFill="1" applyBorder="1" applyProtection="1"/>
    <xf numFmtId="0" fontId="18" fillId="6" borderId="9" xfId="0" applyFont="1" applyFill="1" applyBorder="1" applyProtection="1"/>
    <xf numFmtId="10" fontId="1" fillId="10" borderId="5" xfId="4" applyNumberFormat="1" applyFont="1" applyFill="1" applyBorder="1" applyAlignment="1" applyProtection="1">
      <alignment horizontal="center"/>
    </xf>
    <xf numFmtId="10" fontId="5" fillId="5" borderId="6" xfId="0" applyNumberFormat="1" applyFont="1" applyFill="1" applyBorder="1" applyAlignment="1" applyProtection="1">
      <alignment horizontal="center" vertical="top" wrapText="1"/>
    </xf>
    <xf numFmtId="3" fontId="5" fillId="5" borderId="3" xfId="0" applyNumberFormat="1" applyFont="1" applyFill="1" applyBorder="1" applyAlignment="1" applyProtection="1">
      <alignment horizontal="center" vertical="top" wrapText="1"/>
    </xf>
    <xf numFmtId="3" fontId="1" fillId="5" borderId="1" xfId="0" applyNumberFormat="1" applyFont="1" applyFill="1" applyBorder="1" applyAlignment="1" applyProtection="1">
      <alignment horizontal="center" vertical="top" wrapText="1"/>
    </xf>
    <xf numFmtId="0" fontId="3" fillId="4" borderId="23" xfId="0" applyFont="1" applyFill="1" applyBorder="1" applyProtection="1"/>
    <xf numFmtId="10" fontId="14" fillId="2" borderId="6" xfId="1" applyNumberFormat="1" applyFont="1" applyFill="1" applyBorder="1" applyProtection="1"/>
    <xf numFmtId="0" fontId="0" fillId="2" borderId="6" xfId="0" applyFill="1" applyBorder="1" applyProtection="1"/>
    <xf numFmtId="170" fontId="14" fillId="2" borderId="7" xfId="1" applyNumberFormat="1" applyFont="1" applyFill="1" applyBorder="1" applyProtection="1"/>
    <xf numFmtId="0" fontId="0" fillId="2" borderId="0" xfId="0" applyFill="1" applyBorder="1" applyProtection="1"/>
    <xf numFmtId="0" fontId="0" fillId="2" borderId="9" xfId="0" applyFill="1" applyBorder="1" applyProtection="1"/>
    <xf numFmtId="0" fontId="0" fillId="5" borderId="0" xfId="0" applyFill="1" applyBorder="1" applyAlignment="1" applyProtection="1">
      <alignment horizontal="center" vertical="top" wrapText="1"/>
    </xf>
    <xf numFmtId="0" fontId="0" fillId="5" borderId="10" xfId="0" applyFill="1" applyBorder="1" applyAlignment="1" applyProtection="1">
      <alignment horizontal="center" vertical="top" wrapText="1"/>
    </xf>
    <xf numFmtId="0" fontId="0" fillId="5" borderId="11" xfId="0" applyFill="1" applyBorder="1" applyAlignment="1" applyProtection="1">
      <alignment horizontal="center" vertical="top" wrapText="1"/>
    </xf>
    <xf numFmtId="0" fontId="0" fillId="2" borderId="2" xfId="0" applyFill="1" applyBorder="1" applyProtection="1"/>
    <xf numFmtId="170" fontId="14" fillId="2" borderId="1" xfId="1" applyNumberFormat="1" applyFont="1" applyFill="1" applyBorder="1" applyProtection="1"/>
    <xf numFmtId="0" fontId="0" fillId="2" borderId="1" xfId="0" applyFill="1" applyBorder="1" applyProtection="1"/>
    <xf numFmtId="169" fontId="0" fillId="2" borderId="1" xfId="0" applyNumberFormat="1" applyFill="1" applyBorder="1" applyProtection="1"/>
    <xf numFmtId="0" fontId="0" fillId="2" borderId="8" xfId="0" applyFill="1" applyBorder="1" applyProtection="1"/>
    <xf numFmtId="14" fontId="19" fillId="8" borderId="12" xfId="0" applyNumberFormat="1" applyFont="1" applyFill="1" applyBorder="1" applyAlignment="1" applyProtection="1">
      <alignment horizontal="center"/>
    </xf>
    <xf numFmtId="14" fontId="19" fillId="8" borderId="28" xfId="0" applyNumberFormat="1" applyFont="1" applyFill="1" applyBorder="1" applyAlignment="1" applyProtection="1">
      <alignment horizontal="right"/>
    </xf>
    <xf numFmtId="15" fontId="33" fillId="10" borderId="5" xfId="0" applyNumberFormat="1" applyFont="1" applyFill="1" applyBorder="1" applyAlignment="1" applyProtection="1">
      <alignment horizontal="center"/>
    </xf>
    <xf numFmtId="15" fontId="1" fillId="7" borderId="4" xfId="0" applyNumberFormat="1" applyFont="1" applyFill="1" applyBorder="1" applyAlignment="1" applyProtection="1">
      <alignment horizontal="center"/>
    </xf>
    <xf numFmtId="168" fontId="1" fillId="7" borderId="13" xfId="0" applyNumberFormat="1" applyFont="1" applyFill="1" applyBorder="1" applyAlignment="1" applyProtection="1">
      <alignment horizontal="center"/>
    </xf>
    <xf numFmtId="168" fontId="6" fillId="5" borderId="13" xfId="0" applyNumberFormat="1" applyFont="1" applyFill="1" applyBorder="1" applyAlignment="1" applyProtection="1">
      <alignment horizontal="center"/>
    </xf>
    <xf numFmtId="168" fontId="6" fillId="5" borderId="17" xfId="0" applyNumberFormat="1" applyFont="1" applyFill="1" applyBorder="1" applyAlignment="1" applyProtection="1">
      <alignment horizontal="center"/>
    </xf>
    <xf numFmtId="168" fontId="6" fillId="5" borderId="15" xfId="0" applyNumberFormat="1" applyFont="1" applyFill="1" applyBorder="1" applyAlignment="1" applyProtection="1">
      <alignment horizontal="center"/>
    </xf>
    <xf numFmtId="0" fontId="18" fillId="5" borderId="31" xfId="0" applyFont="1" applyFill="1" applyBorder="1" applyProtection="1"/>
    <xf numFmtId="168" fontId="6" fillId="5" borderId="2" xfId="0" applyNumberFormat="1" applyFont="1" applyFill="1" applyBorder="1" applyAlignment="1" applyProtection="1">
      <alignment horizontal="center"/>
    </xf>
    <xf numFmtId="168" fontId="6" fillId="5" borderId="1" xfId="0" applyNumberFormat="1" applyFont="1" applyFill="1" applyBorder="1" applyAlignment="1" applyProtection="1">
      <alignment horizontal="center"/>
    </xf>
    <xf numFmtId="168" fontId="6" fillId="5" borderId="0" xfId="0" applyNumberFormat="1" applyFont="1" applyFill="1" applyBorder="1" applyAlignment="1" applyProtection="1">
      <alignment horizontal="center"/>
    </xf>
    <xf numFmtId="168" fontId="6" fillId="5" borderId="18" xfId="0" applyNumberFormat="1" applyFont="1" applyFill="1" applyBorder="1" applyAlignment="1" applyProtection="1">
      <alignment horizontal="center"/>
    </xf>
    <xf numFmtId="14" fontId="31" fillId="5" borderId="0" xfId="0" applyNumberFormat="1" applyFont="1" applyFill="1" applyBorder="1" applyAlignment="1" applyProtection="1">
      <alignment horizontal="left"/>
    </xf>
    <xf numFmtId="166" fontId="34" fillId="5" borderId="0" xfId="4" applyNumberFormat="1" applyFont="1" applyFill="1" applyBorder="1" applyAlignment="1" applyProtection="1">
      <alignment horizontal="left"/>
    </xf>
    <xf numFmtId="14" fontId="10" fillId="2" borderId="3" xfId="0" applyNumberFormat="1" applyFont="1" applyFill="1" applyBorder="1" applyProtection="1"/>
    <xf numFmtId="170" fontId="0" fillId="2" borderId="0" xfId="0" applyNumberFormat="1" applyFill="1" applyBorder="1" applyProtection="1"/>
    <xf numFmtId="165" fontId="14" fillId="2" borderId="0" xfId="1" applyFont="1" applyFill="1" applyBorder="1" applyProtection="1"/>
    <xf numFmtId="43" fontId="0" fillId="2" borderId="0" xfId="0" applyNumberFormat="1" applyFill="1" applyBorder="1" applyProtection="1"/>
    <xf numFmtId="169" fontId="0" fillId="2" borderId="0" xfId="0" applyNumberFormat="1" applyFill="1" applyBorder="1" applyProtection="1"/>
    <xf numFmtId="171" fontId="0" fillId="2" borderId="0" xfId="0" applyNumberFormat="1" applyFill="1" applyBorder="1" applyProtection="1"/>
    <xf numFmtId="1" fontId="19" fillId="8" borderId="15" xfId="0" applyNumberFormat="1" applyFont="1" applyFill="1" applyBorder="1" applyProtection="1"/>
    <xf numFmtId="15" fontId="1" fillId="7" borderId="17" xfId="0" applyNumberFormat="1" applyFont="1" applyFill="1" applyBorder="1" applyAlignment="1" applyProtection="1">
      <alignment horizontal="center"/>
    </xf>
    <xf numFmtId="168" fontId="1" fillId="5" borderId="14" xfId="0" applyNumberFormat="1" applyFont="1" applyFill="1" applyBorder="1" applyAlignment="1" applyProtection="1">
      <alignment horizontal="center"/>
    </xf>
    <xf numFmtId="168" fontId="6" fillId="10" borderId="17" xfId="0" applyNumberFormat="1" applyFont="1" applyFill="1" applyBorder="1" applyAlignment="1" applyProtection="1">
      <alignment horizontal="center"/>
    </xf>
    <xf numFmtId="168" fontId="6" fillId="5" borderId="6" xfId="0" applyNumberFormat="1" applyFont="1" applyFill="1" applyBorder="1" applyAlignment="1" applyProtection="1">
      <alignment horizontal="center"/>
    </xf>
    <xf numFmtId="168" fontId="6" fillId="5" borderId="3" xfId="0" applyNumberFormat="1" applyFont="1" applyFill="1" applyBorder="1" applyAlignment="1" applyProtection="1">
      <alignment horizontal="center"/>
    </xf>
    <xf numFmtId="168" fontId="6" fillId="5" borderId="16" xfId="0" applyNumberFormat="1" applyFont="1" applyFill="1" applyBorder="1" applyAlignment="1" applyProtection="1">
      <alignment horizontal="center"/>
    </xf>
    <xf numFmtId="15" fontId="1" fillId="7" borderId="14" xfId="0" applyNumberFormat="1" applyFont="1" applyFill="1" applyBorder="1" applyAlignment="1" applyProtection="1">
      <alignment horizontal="center"/>
    </xf>
    <xf numFmtId="168" fontId="6" fillId="10" borderId="14" xfId="0" applyNumberFormat="1" applyFont="1" applyFill="1" applyBorder="1" applyAlignment="1" applyProtection="1">
      <alignment horizontal="center"/>
    </xf>
    <xf numFmtId="14" fontId="31" fillId="5" borderId="0" xfId="0" applyNumberFormat="1" applyFont="1" applyFill="1" applyBorder="1" applyAlignment="1" applyProtection="1">
      <alignment horizontal="right"/>
    </xf>
    <xf numFmtId="176" fontId="1" fillId="5" borderId="14" xfId="0" applyNumberFormat="1" applyFont="1" applyFill="1" applyBorder="1" applyAlignment="1" applyProtection="1">
      <alignment horizontal="center"/>
    </xf>
    <xf numFmtId="166" fontId="35" fillId="5" borderId="0" xfId="4" applyNumberFormat="1" applyFont="1" applyFill="1" applyBorder="1" applyAlignment="1" applyProtection="1">
      <alignment horizontal="left"/>
    </xf>
    <xf numFmtId="10" fontId="5" fillId="5" borderId="0" xfId="0" applyNumberFormat="1" applyFont="1" applyFill="1" applyBorder="1" applyAlignment="1" applyProtection="1">
      <alignment horizontal="left"/>
    </xf>
    <xf numFmtId="177" fontId="18" fillId="5" borderId="0" xfId="0" applyNumberFormat="1" applyFont="1" applyFill="1" applyBorder="1" applyProtection="1"/>
    <xf numFmtId="168" fontId="6" fillId="10" borderId="22" xfId="0" applyNumberFormat="1" applyFont="1" applyFill="1" applyBorder="1" applyAlignment="1" applyProtection="1">
      <alignment horizontal="center"/>
    </xf>
    <xf numFmtId="168" fontId="6" fillId="5" borderId="19" xfId="0" applyNumberFormat="1" applyFont="1" applyFill="1" applyBorder="1" applyAlignment="1" applyProtection="1">
      <alignment horizontal="center"/>
    </xf>
    <xf numFmtId="168" fontId="6" fillId="5" borderId="29" xfId="0" applyNumberFormat="1" applyFont="1" applyFill="1" applyBorder="1" applyAlignment="1" applyProtection="1">
      <alignment horizontal="center"/>
    </xf>
    <xf numFmtId="168" fontId="6" fillId="5" borderId="30" xfId="0" applyNumberFormat="1" applyFont="1" applyFill="1" applyBorder="1" applyAlignment="1" applyProtection="1">
      <alignment horizontal="center"/>
    </xf>
    <xf numFmtId="168" fontId="6" fillId="5" borderId="20" xfId="0" applyNumberFormat="1" applyFont="1" applyFill="1" applyBorder="1" applyAlignment="1" applyProtection="1">
      <alignment horizontal="center"/>
    </xf>
    <xf numFmtId="1" fontId="19" fillId="8" borderId="29" xfId="0" applyNumberFormat="1" applyFont="1" applyFill="1" applyBorder="1" applyProtection="1"/>
    <xf numFmtId="168" fontId="1" fillId="5" borderId="13" xfId="0" applyNumberFormat="1" applyFont="1" applyFill="1" applyBorder="1" applyAlignment="1" applyProtection="1">
      <alignment horizontal="center"/>
    </xf>
    <xf numFmtId="3" fontId="6" fillId="5" borderId="0" xfId="0" applyNumberFormat="1" applyFont="1" applyFill="1" applyBorder="1" applyAlignment="1" applyProtection="1">
      <alignment horizontal="center"/>
    </xf>
    <xf numFmtId="175" fontId="6" fillId="5" borderId="0" xfId="0" applyNumberFormat="1" applyFont="1" applyFill="1" applyBorder="1" applyAlignment="1" applyProtection="1">
      <alignment horizontal="center"/>
    </xf>
    <xf numFmtId="173" fontId="6" fillId="5" borderId="0" xfId="0" applyNumberFormat="1" applyFont="1" applyFill="1" applyBorder="1" applyAlignment="1" applyProtection="1">
      <alignment horizontal="center"/>
    </xf>
    <xf numFmtId="0" fontId="3" fillId="2" borderId="3" xfId="0" applyFont="1" applyFill="1" applyBorder="1" applyProtection="1"/>
    <xf numFmtId="170" fontId="3" fillId="2" borderId="0" xfId="1" applyNumberFormat="1" applyFont="1" applyFill="1" applyBorder="1" applyProtection="1"/>
    <xf numFmtId="172" fontId="3" fillId="2" borderId="0" xfId="1" applyNumberFormat="1" applyFont="1" applyFill="1" applyBorder="1" applyProtection="1"/>
    <xf numFmtId="0" fontId="19" fillId="5" borderId="0" xfId="0" applyFont="1" applyFill="1" applyBorder="1" applyProtection="1"/>
    <xf numFmtId="0" fontId="0" fillId="2" borderId="10" xfId="0" applyFill="1" applyBorder="1" applyProtection="1"/>
    <xf numFmtId="170" fontId="14" fillId="2" borderId="11" xfId="1" applyNumberFormat="1" applyFont="1" applyFill="1" applyBorder="1" applyProtection="1"/>
    <xf numFmtId="0" fontId="0" fillId="11" borderId="11" xfId="0" applyFill="1" applyBorder="1" applyProtection="1"/>
    <xf numFmtId="43" fontId="3" fillId="11" borderId="11" xfId="0" applyNumberFormat="1" applyFont="1" applyFill="1" applyBorder="1" applyProtection="1"/>
    <xf numFmtId="0" fontId="3" fillId="2" borderId="11" xfId="0" applyFont="1" applyFill="1" applyBorder="1" applyProtection="1"/>
    <xf numFmtId="43" fontId="3" fillId="11" borderId="24" xfId="0" applyNumberFormat="1" applyFont="1" applyFill="1" applyBorder="1" applyProtection="1"/>
    <xf numFmtId="0" fontId="3" fillId="11" borderId="26" xfId="0" applyFont="1" applyFill="1" applyBorder="1" applyProtection="1"/>
    <xf numFmtId="43" fontId="3" fillId="11" borderId="12" xfId="0" applyNumberFormat="1" applyFont="1" applyFill="1" applyBorder="1" applyProtection="1"/>
    <xf numFmtId="0" fontId="3" fillId="11" borderId="25" xfId="0" applyFont="1" applyFill="1" applyBorder="1" applyProtection="1"/>
    <xf numFmtId="0" fontId="6" fillId="5" borderId="15" xfId="0" applyFont="1" applyFill="1" applyBorder="1" applyProtection="1"/>
    <xf numFmtId="10" fontId="1" fillId="5" borderId="13" xfId="0" applyNumberFormat="1" applyFont="1" applyFill="1" applyBorder="1" applyAlignment="1" applyProtection="1">
      <alignment horizontal="center"/>
    </xf>
    <xf numFmtId="10" fontId="1" fillId="5" borderId="4" xfId="0" applyNumberFormat="1" applyFont="1" applyFill="1" applyBorder="1" applyAlignment="1" applyProtection="1">
      <alignment horizontal="center"/>
    </xf>
    <xf numFmtId="168" fontId="1" fillId="5" borderId="4" xfId="0" applyNumberFormat="1" applyFont="1" applyFill="1" applyBorder="1" applyProtection="1"/>
    <xf numFmtId="168" fontId="1" fillId="5" borderId="5" xfId="0" applyNumberFormat="1" applyFont="1" applyFill="1" applyBorder="1" applyAlignment="1" applyProtection="1">
      <alignment horizontal="center"/>
    </xf>
    <xf numFmtId="0" fontId="6" fillId="5" borderId="4" xfId="0" applyFont="1" applyFill="1" applyBorder="1" applyProtection="1"/>
    <xf numFmtId="168" fontId="1" fillId="5" borderId="13" xfId="0" applyNumberFormat="1" applyFont="1" applyFill="1" applyBorder="1" applyProtection="1"/>
    <xf numFmtId="168" fontId="1" fillId="5" borderId="5" xfId="0" applyNumberFormat="1" applyFont="1" applyFill="1" applyBorder="1" applyProtection="1"/>
    <xf numFmtId="0" fontId="0" fillId="2" borderId="0" xfId="0" applyFill="1" applyProtection="1"/>
    <xf numFmtId="170" fontId="14" fillId="2" borderId="0" xfId="1" applyNumberFormat="1" applyFont="1" applyFill="1" applyProtection="1"/>
    <xf numFmtId="43" fontId="3" fillId="11" borderId="22" xfId="0" applyNumberFormat="1" applyFont="1" applyFill="1" applyBorder="1" applyProtection="1"/>
    <xf numFmtId="0" fontId="3" fillId="11" borderId="19" xfId="0" applyFont="1" applyFill="1" applyBorder="1" applyProtection="1"/>
    <xf numFmtId="0" fontId="0" fillId="2" borderId="11" xfId="0" applyFill="1" applyBorder="1" applyProtection="1"/>
    <xf numFmtId="43" fontId="3" fillId="11" borderId="27" xfId="0" applyNumberFormat="1" applyFont="1" applyFill="1" applyBorder="1" applyProtection="1"/>
    <xf numFmtId="0" fontId="3" fillId="11" borderId="21" xfId="0" applyFont="1" applyFill="1" applyBorder="1" applyProtection="1"/>
    <xf numFmtId="0" fontId="6" fillId="6" borderId="0" xfId="0" applyFont="1" applyFill="1" applyProtection="1"/>
    <xf numFmtId="15" fontId="6" fillId="5" borderId="0" xfId="0" applyNumberFormat="1" applyFont="1" applyFill="1" applyBorder="1" applyAlignment="1" applyProtection="1">
      <alignment horizontal="center"/>
    </xf>
    <xf numFmtId="3" fontId="2" fillId="6" borderId="0" xfId="0" applyNumberFormat="1" applyFont="1" applyFill="1" applyAlignment="1" applyProtection="1">
      <alignment horizontal="center"/>
    </xf>
    <xf numFmtId="0" fontId="15" fillId="6" borderId="0" xfId="0" applyFont="1" applyFill="1" applyProtection="1"/>
    <xf numFmtId="3" fontId="2" fillId="6" borderId="0" xfId="0" applyNumberFormat="1" applyFont="1" applyFill="1" applyBorder="1" applyAlignment="1" applyProtection="1">
      <alignment horizontal="center"/>
    </xf>
    <xf numFmtId="0" fontId="16" fillId="6" borderId="0" xfId="0" applyFont="1" applyFill="1" applyProtection="1"/>
    <xf numFmtId="3" fontId="15" fillId="6" borderId="0" xfId="0" applyNumberFormat="1" applyFont="1" applyFill="1" applyAlignment="1" applyProtection="1">
      <alignment horizontal="center"/>
    </xf>
    <xf numFmtId="0" fontId="21" fillId="5" borderId="32" xfId="0" applyFont="1" applyFill="1" applyBorder="1" applyProtection="1"/>
    <xf numFmtId="10" fontId="22" fillId="5" borderId="32" xfId="0" applyNumberFormat="1" applyFont="1" applyFill="1" applyBorder="1" applyAlignment="1" applyProtection="1"/>
    <xf numFmtId="0" fontId="21" fillId="5" borderId="33" xfId="0" applyFont="1" applyFill="1" applyBorder="1" applyProtection="1"/>
    <xf numFmtId="0" fontId="18" fillId="5" borderId="36" xfId="0" applyFont="1" applyFill="1" applyBorder="1" applyProtection="1"/>
    <xf numFmtId="0" fontId="21" fillId="5" borderId="35" xfId="0" applyFont="1" applyFill="1" applyBorder="1" applyProtection="1"/>
    <xf numFmtId="10" fontId="24" fillId="5" borderId="36" xfId="0" applyNumberFormat="1" applyFont="1" applyFill="1" applyBorder="1" applyAlignment="1" applyProtection="1">
      <alignment horizontal="center"/>
    </xf>
    <xf numFmtId="0" fontId="21" fillId="5" borderId="37" xfId="0" applyFont="1" applyFill="1" applyBorder="1" applyProtection="1"/>
    <xf numFmtId="168" fontId="21" fillId="5" borderId="35" xfId="0" applyNumberFormat="1" applyFont="1" applyFill="1" applyBorder="1" applyAlignment="1" applyProtection="1">
      <alignment horizontal="center"/>
    </xf>
    <xf numFmtId="10" fontId="24" fillId="5" borderId="0" xfId="0" applyNumberFormat="1" applyFont="1" applyFill="1" applyBorder="1" applyAlignment="1" applyProtection="1">
      <alignment horizontal="center"/>
    </xf>
    <xf numFmtId="168" fontId="24" fillId="5" borderId="0" xfId="0" applyNumberFormat="1" applyFont="1" applyFill="1" applyBorder="1" applyProtection="1"/>
    <xf numFmtId="168" fontId="21" fillId="5" borderId="0" xfId="0" applyNumberFormat="1" applyFont="1" applyFill="1" applyBorder="1" applyAlignment="1" applyProtection="1">
      <alignment horizontal="center"/>
    </xf>
    <xf numFmtId="168" fontId="11" fillId="5" borderId="0" xfId="0" applyNumberFormat="1" applyFont="1" applyFill="1" applyBorder="1" applyAlignment="1" applyProtection="1">
      <alignment horizontal="center"/>
    </xf>
    <xf numFmtId="15" fontId="1" fillId="10" borderId="7" xfId="0" applyNumberFormat="1" applyFont="1" applyFill="1" applyBorder="1" applyAlignment="1" applyProtection="1">
      <alignment horizontal="center"/>
    </xf>
    <xf numFmtId="10" fontId="5" fillId="5" borderId="17" xfId="0" applyNumberFormat="1" applyFont="1" applyFill="1" applyBorder="1" applyAlignment="1" applyProtection="1">
      <alignment horizontal="center" vertical="top" wrapText="1"/>
    </xf>
    <xf numFmtId="0" fontId="0" fillId="5" borderId="14" xfId="0" applyFill="1" applyBorder="1" applyAlignment="1" applyProtection="1">
      <alignment horizontal="center" vertical="top" wrapText="1"/>
    </xf>
    <xf numFmtId="0" fontId="0" fillId="5" borderId="3" xfId="0" applyFill="1" applyBorder="1" applyAlignment="1" applyProtection="1">
      <alignment horizontal="center" vertical="top" wrapText="1"/>
    </xf>
    <xf numFmtId="3" fontId="7" fillId="5" borderId="0" xfId="0" applyNumberFormat="1" applyFont="1" applyFill="1" applyBorder="1" applyAlignment="1" applyProtection="1">
      <alignment horizontal="center"/>
    </xf>
    <xf numFmtId="15" fontId="1" fillId="10" borderId="5" xfId="0" applyNumberFormat="1" applyFont="1" applyFill="1" applyBorder="1" applyAlignment="1" applyProtection="1">
      <alignment horizontal="center"/>
    </xf>
    <xf numFmtId="168" fontId="1" fillId="7" borderId="7" xfId="0" applyNumberFormat="1" applyFont="1" applyFill="1" applyBorder="1" applyAlignment="1" applyProtection="1">
      <alignment horizontal="center"/>
    </xf>
    <xf numFmtId="168" fontId="6" fillId="5" borderId="12" xfId="0" applyNumberFormat="1" applyFont="1" applyFill="1" applyBorder="1" applyAlignment="1" applyProtection="1">
      <alignment horizontal="center"/>
    </xf>
    <xf numFmtId="0" fontId="18" fillId="5" borderId="12" xfId="0" applyFont="1" applyFill="1" applyBorder="1" applyProtection="1"/>
    <xf numFmtId="168" fontId="6" fillId="5" borderId="23" xfId="0" applyNumberFormat="1" applyFont="1" applyFill="1" applyBorder="1" applyAlignment="1" applyProtection="1">
      <alignment horizontal="center"/>
    </xf>
    <xf numFmtId="168" fontId="6" fillId="5" borderId="7" xfId="0" applyNumberFormat="1" applyFont="1" applyFill="1" applyBorder="1" applyAlignment="1" applyProtection="1">
      <alignment horizontal="center"/>
    </xf>
    <xf numFmtId="1" fontId="19" fillId="8" borderId="14" xfId="0" applyNumberFormat="1" applyFont="1" applyFill="1" applyBorder="1" applyProtection="1"/>
    <xf numFmtId="168" fontId="1" fillId="5" borderId="7" xfId="0" applyNumberFormat="1" applyFont="1" applyFill="1" applyBorder="1" applyAlignment="1" applyProtection="1">
      <alignment horizontal="center"/>
    </xf>
    <xf numFmtId="168" fontId="1" fillId="5" borderId="15" xfId="0" applyNumberFormat="1" applyFont="1" applyFill="1" applyBorder="1" applyAlignment="1" applyProtection="1">
      <alignment horizontal="center"/>
    </xf>
    <xf numFmtId="168" fontId="1" fillId="5" borderId="16" xfId="0" applyNumberFormat="1" applyFont="1" applyFill="1" applyBorder="1" applyAlignment="1" applyProtection="1">
      <alignment horizontal="center"/>
    </xf>
    <xf numFmtId="9" fontId="1" fillId="7" borderId="14" xfId="4" applyFont="1" applyFill="1" applyBorder="1" applyAlignment="1" applyProtection="1">
      <alignment horizontal="center"/>
    </xf>
    <xf numFmtId="1" fontId="19" fillId="8" borderId="22" xfId="0" applyNumberFormat="1" applyFont="1" applyFill="1" applyBorder="1" applyProtection="1"/>
    <xf numFmtId="15" fontId="1" fillId="7" borderId="22" xfId="0" applyNumberFormat="1" applyFont="1" applyFill="1" applyBorder="1" applyAlignment="1" applyProtection="1">
      <alignment horizontal="center"/>
    </xf>
    <xf numFmtId="168" fontId="1" fillId="5" borderId="20" xfId="0" applyNumberFormat="1" applyFont="1" applyFill="1" applyBorder="1" applyAlignment="1" applyProtection="1">
      <alignment horizontal="center"/>
    </xf>
    <xf numFmtId="168" fontId="1" fillId="5" borderId="29" xfId="0" applyNumberFormat="1" applyFont="1" applyFill="1" applyBorder="1" applyAlignment="1" applyProtection="1">
      <alignment horizontal="center"/>
    </xf>
    <xf numFmtId="9" fontId="6" fillId="5" borderId="13" xfId="4" applyFont="1" applyFill="1" applyBorder="1" applyAlignment="1" applyProtection="1">
      <alignment horizontal="center"/>
    </xf>
    <xf numFmtId="3" fontId="6" fillId="5" borderId="16" xfId="0" applyNumberFormat="1" applyFont="1" applyFill="1" applyBorder="1" applyAlignment="1" applyProtection="1">
      <alignment horizontal="center"/>
    </xf>
    <xf numFmtId="0" fontId="0" fillId="3" borderId="11" xfId="0" applyFill="1" applyBorder="1" applyProtection="1"/>
    <xf numFmtId="43" fontId="3" fillId="3" borderId="11" xfId="0" applyNumberFormat="1" applyFont="1" applyFill="1" applyBorder="1" applyProtection="1"/>
    <xf numFmtId="43" fontId="3" fillId="3" borderId="24" xfId="0" applyNumberFormat="1" applyFont="1" applyFill="1" applyBorder="1" applyProtection="1"/>
    <xf numFmtId="0" fontId="3" fillId="3" borderId="26" xfId="0" applyFont="1" applyFill="1" applyBorder="1" applyProtection="1"/>
    <xf numFmtId="43" fontId="3" fillId="3" borderId="12" xfId="0" applyNumberFormat="1" applyFont="1" applyFill="1" applyBorder="1" applyProtection="1"/>
    <xf numFmtId="0" fontId="3" fillId="3" borderId="25" xfId="0" applyFont="1" applyFill="1" applyBorder="1" applyProtection="1"/>
    <xf numFmtId="43" fontId="3" fillId="3" borderId="22" xfId="0" applyNumberFormat="1" applyFont="1" applyFill="1" applyBorder="1" applyProtection="1"/>
    <xf numFmtId="0" fontId="3" fillId="3" borderId="19" xfId="0" applyFont="1" applyFill="1" applyBorder="1" applyProtection="1"/>
    <xf numFmtId="43" fontId="3" fillId="3" borderId="27" xfId="0" applyNumberFormat="1" applyFont="1" applyFill="1" applyBorder="1" applyProtection="1"/>
    <xf numFmtId="0" fontId="3" fillId="3" borderId="21" xfId="0" applyFont="1" applyFill="1" applyBorder="1" applyProtection="1"/>
    <xf numFmtId="0" fontId="15" fillId="6" borderId="0" xfId="0" applyFont="1" applyFill="1" applyBorder="1" applyProtection="1"/>
    <xf numFmtId="3" fontId="15" fillId="6" borderId="0" xfId="0" applyNumberFormat="1" applyFont="1" applyFill="1" applyBorder="1" applyAlignment="1" applyProtection="1">
      <alignment horizontal="center"/>
    </xf>
    <xf numFmtId="15" fontId="21" fillId="5" borderId="32" xfId="0" applyNumberFormat="1" applyFont="1" applyFill="1" applyBorder="1" applyAlignment="1" applyProtection="1">
      <alignment horizontal="right"/>
    </xf>
    <xf numFmtId="15" fontId="21" fillId="5" borderId="33" xfId="0" applyNumberFormat="1" applyFont="1" applyFill="1" applyBorder="1" applyAlignment="1" applyProtection="1">
      <alignment horizontal="right"/>
    </xf>
    <xf numFmtId="169" fontId="21" fillId="5" borderId="33" xfId="1" applyNumberFormat="1" applyFont="1" applyFill="1" applyBorder="1" applyAlignment="1" applyProtection="1">
      <alignment horizontal="right"/>
    </xf>
    <xf numFmtId="3" fontId="21" fillId="5" borderId="33" xfId="0" applyNumberFormat="1" applyFont="1" applyFill="1" applyBorder="1" applyAlignment="1" applyProtection="1">
      <alignment horizontal="right"/>
    </xf>
    <xf numFmtId="10" fontId="21" fillId="5" borderId="33" xfId="4" applyNumberFormat="1" applyFont="1" applyFill="1" applyBorder="1" applyAlignment="1" applyProtection="1">
      <alignment horizontal="right"/>
    </xf>
    <xf numFmtId="169" fontId="26" fillId="5" borderId="33" xfId="1" applyNumberFormat="1" applyFont="1" applyFill="1" applyBorder="1" applyAlignment="1" applyProtection="1">
      <alignment horizontal="right"/>
    </xf>
    <xf numFmtId="166" fontId="21" fillId="5" borderId="33" xfId="4" applyNumberFormat="1" applyFont="1" applyFill="1" applyBorder="1" applyAlignment="1" applyProtection="1">
      <alignment horizontal="right"/>
    </xf>
    <xf numFmtId="10" fontId="24" fillId="5" borderId="33" xfId="4" applyNumberFormat="1" applyFont="1" applyFill="1" applyBorder="1" applyAlignment="1" applyProtection="1">
      <alignment horizontal="right"/>
    </xf>
    <xf numFmtId="2" fontId="21" fillId="5" borderId="33" xfId="0" applyNumberFormat="1" applyFont="1" applyFill="1" applyBorder="1" applyAlignment="1" applyProtection="1">
      <alignment horizontal="right"/>
    </xf>
    <xf numFmtId="2" fontId="24" fillId="5" borderId="34" xfId="0" applyNumberFormat="1" applyFont="1" applyFill="1" applyBorder="1" applyAlignment="1" applyProtection="1">
      <alignment horizontal="right"/>
    </xf>
    <xf numFmtId="166" fontId="28" fillId="14" borderId="32" xfId="4" applyNumberFormat="1" applyFont="1" applyFill="1" applyBorder="1" applyAlignment="1" applyProtection="1">
      <alignment horizontal="right"/>
      <protection locked="0"/>
    </xf>
    <xf numFmtId="10" fontId="26" fillId="14" borderId="33" xfId="4" applyNumberFormat="1" applyFont="1" applyFill="1" applyBorder="1" applyAlignment="1" applyProtection="1">
      <alignment horizontal="right"/>
      <protection locked="0"/>
    </xf>
    <xf numFmtId="169" fontId="28" fillId="14" borderId="34" xfId="1" applyNumberFormat="1" applyFont="1" applyFill="1" applyBorder="1" applyAlignment="1" applyProtection="1">
      <alignment horizontal="right"/>
      <protection locked="0"/>
    </xf>
    <xf numFmtId="3" fontId="17" fillId="5" borderId="28" xfId="0" applyNumberFormat="1" applyFont="1" applyFill="1" applyBorder="1" applyAlignment="1" applyProtection="1">
      <alignment horizontal="center"/>
    </xf>
    <xf numFmtId="3" fontId="17" fillId="5" borderId="4" xfId="0" applyNumberFormat="1" applyFont="1" applyFill="1" applyBorder="1" applyAlignment="1" applyProtection="1">
      <alignment horizontal="center"/>
    </xf>
    <xf numFmtId="3" fontId="17" fillId="5" borderId="5" xfId="0" applyNumberFormat="1" applyFont="1" applyFill="1" applyBorder="1" applyAlignment="1" applyProtection="1">
      <alignment horizontal="center"/>
    </xf>
    <xf numFmtId="0" fontId="32" fillId="14" borderId="10" xfId="0" applyFont="1" applyFill="1" applyBorder="1" applyAlignment="1" applyProtection="1">
      <alignment horizontal="left"/>
    </xf>
    <xf numFmtId="0" fontId="32" fillId="14" borderId="11" xfId="0" applyFont="1" applyFill="1" applyBorder="1" applyAlignment="1" applyProtection="1">
      <alignment horizontal="left"/>
    </xf>
    <xf numFmtId="0" fontId="32" fillId="13" borderId="3" xfId="0" applyFont="1" applyFill="1" applyBorder="1" applyAlignment="1" applyProtection="1">
      <alignment horizontal="left"/>
    </xf>
    <xf numFmtId="0" fontId="32" fillId="13" borderId="0" xfId="0" applyFont="1" applyFill="1" applyBorder="1" applyAlignment="1" applyProtection="1">
      <alignment horizontal="left"/>
    </xf>
    <xf numFmtId="10" fontId="5" fillId="5" borderId="17" xfId="0" applyNumberFormat="1" applyFont="1" applyFill="1" applyBorder="1" applyAlignment="1" applyProtection="1">
      <alignment horizontal="center" vertical="top" wrapText="1"/>
    </xf>
    <xf numFmtId="0" fontId="0" fillId="5" borderId="14" xfId="0" applyFill="1" applyBorder="1" applyAlignment="1" applyProtection="1">
      <alignment horizontal="center" vertical="top" wrapText="1"/>
    </xf>
    <xf numFmtId="3" fontId="5" fillId="5" borderId="17" xfId="0" applyNumberFormat="1" applyFont="1" applyFill="1" applyBorder="1" applyAlignment="1" applyProtection="1">
      <alignment horizontal="center" vertical="top" wrapText="1"/>
    </xf>
    <xf numFmtId="0" fontId="0" fillId="5" borderId="22" xfId="0" applyFill="1" applyBorder="1" applyAlignment="1" applyProtection="1">
      <alignment horizontal="center" vertical="top" wrapText="1"/>
    </xf>
    <xf numFmtId="3" fontId="1" fillId="5" borderId="1" xfId="0" applyNumberFormat="1" applyFont="1" applyFill="1" applyBorder="1" applyAlignment="1" applyProtection="1">
      <alignment horizontal="center" vertical="top" wrapText="1"/>
    </xf>
    <xf numFmtId="3" fontId="1" fillId="5" borderId="11" xfId="0" applyNumberFormat="1" applyFont="1" applyFill="1" applyBorder="1" applyAlignment="1" applyProtection="1">
      <alignment horizontal="center" vertical="top" wrapText="1"/>
    </xf>
    <xf numFmtId="10" fontId="5" fillId="5" borderId="14" xfId="0" applyNumberFormat="1" applyFont="1" applyFill="1" applyBorder="1" applyAlignment="1" applyProtection="1">
      <alignment horizontal="center" vertical="top" wrapText="1"/>
    </xf>
    <xf numFmtId="3" fontId="1" fillId="5" borderId="17" xfId="0" applyNumberFormat="1" applyFont="1" applyFill="1" applyBorder="1" applyAlignment="1" applyProtection="1">
      <alignment horizontal="center" vertical="top" wrapText="1"/>
    </xf>
    <xf numFmtId="10" fontId="5" fillId="5" borderId="22" xfId="0" applyNumberFormat="1" applyFont="1" applyFill="1" applyBorder="1" applyAlignment="1" applyProtection="1">
      <alignment horizontal="center" vertical="top" wrapText="1"/>
    </xf>
    <xf numFmtId="10" fontId="4" fillId="5" borderId="12" xfId="0" applyNumberFormat="1" applyFont="1" applyFill="1" applyBorder="1" applyAlignment="1" applyProtection="1">
      <alignment horizontal="center"/>
    </xf>
    <xf numFmtId="10" fontId="4" fillId="5" borderId="6" xfId="0" applyNumberFormat="1" applyFont="1" applyFill="1" applyBorder="1" applyAlignment="1" applyProtection="1">
      <alignment horizontal="center"/>
    </xf>
    <xf numFmtId="0" fontId="18" fillId="5" borderId="6" xfId="0" applyFont="1" applyFill="1" applyBorder="1" applyAlignment="1" applyProtection="1">
      <alignment horizontal="center"/>
    </xf>
    <xf numFmtId="10" fontId="5" fillId="5" borderId="28" xfId="0" applyNumberFormat="1" applyFont="1" applyFill="1" applyBorder="1" applyAlignment="1" applyProtection="1">
      <alignment horizontal="center"/>
    </xf>
    <xf numFmtId="10" fontId="5" fillId="5" borderId="4" xfId="0" applyNumberFormat="1" applyFont="1" applyFill="1" applyBorder="1" applyAlignment="1" applyProtection="1">
      <alignment horizontal="center"/>
    </xf>
    <xf numFmtId="10" fontId="5" fillId="5" borderId="5" xfId="0" applyNumberFormat="1" applyFont="1" applyFill="1" applyBorder="1" applyAlignment="1" applyProtection="1">
      <alignment horizontal="center"/>
    </xf>
    <xf numFmtId="10" fontId="3" fillId="5" borderId="12" xfId="4" applyNumberFormat="1" applyFont="1" applyFill="1" applyBorder="1" applyAlignment="1" applyProtection="1">
      <alignment horizontal="center" vertical="top" wrapText="1"/>
    </xf>
    <xf numFmtId="0" fontId="0" fillId="5" borderId="29" xfId="0" applyFill="1" applyBorder="1" applyAlignment="1" applyProtection="1">
      <alignment horizontal="center" vertical="top" wrapText="1"/>
    </xf>
    <xf numFmtId="10" fontId="3" fillId="5" borderId="40" xfId="4" applyNumberFormat="1" applyFont="1" applyFill="1" applyBorder="1" applyAlignment="1" applyProtection="1">
      <alignment horizontal="center" vertical="top" wrapText="1"/>
    </xf>
    <xf numFmtId="10" fontId="3" fillId="5" borderId="41" xfId="4" applyNumberFormat="1" applyFont="1" applyFill="1" applyBorder="1" applyAlignment="1" applyProtection="1">
      <alignment horizontal="center" vertical="top" wrapText="1"/>
    </xf>
    <xf numFmtId="10" fontId="32" fillId="13" borderId="1" xfId="4" applyNumberFormat="1" applyFont="1" applyFill="1" applyBorder="1" applyAlignment="1" applyProtection="1">
      <alignment horizontal="center" vertical="center" wrapText="1"/>
    </xf>
    <xf numFmtId="10" fontId="32" fillId="13" borderId="0" xfId="4" applyNumberFormat="1" applyFont="1" applyFill="1" applyBorder="1" applyAlignment="1" applyProtection="1">
      <alignment horizontal="center" vertical="center" wrapText="1"/>
    </xf>
    <xf numFmtId="0" fontId="39" fillId="5" borderId="2" xfId="0" applyFont="1" applyFill="1" applyBorder="1" applyAlignment="1" applyProtection="1">
      <alignment horizontal="justify" vertical="center" wrapText="1" shrinkToFit="1" readingOrder="1"/>
    </xf>
    <xf numFmtId="0" fontId="39" fillId="5" borderId="1" xfId="0" applyFont="1" applyFill="1" applyBorder="1" applyAlignment="1" applyProtection="1">
      <alignment horizontal="justify" vertical="center" wrapText="1" shrinkToFit="1" readingOrder="1"/>
    </xf>
    <xf numFmtId="0" fontId="39" fillId="5" borderId="8" xfId="0" applyFont="1" applyFill="1" applyBorder="1" applyAlignment="1" applyProtection="1">
      <alignment horizontal="justify" vertical="center" wrapText="1" shrinkToFit="1" readingOrder="1"/>
    </xf>
    <xf numFmtId="0" fontId="39" fillId="5" borderId="3" xfId="0" applyFont="1" applyFill="1" applyBorder="1" applyAlignment="1" applyProtection="1">
      <alignment horizontal="justify" vertical="center" wrapText="1" shrinkToFit="1" readingOrder="1"/>
    </xf>
    <xf numFmtId="0" fontId="39" fillId="5" borderId="0" xfId="0" applyFont="1" applyFill="1" applyBorder="1" applyAlignment="1" applyProtection="1">
      <alignment horizontal="justify" vertical="center" wrapText="1" shrinkToFit="1" readingOrder="1"/>
    </xf>
    <xf numFmtId="0" fontId="39" fillId="5" borderId="9" xfId="0" applyFont="1" applyFill="1" applyBorder="1" applyAlignment="1" applyProtection="1">
      <alignment horizontal="justify" vertical="center" wrapText="1" shrinkToFit="1" readingOrder="1"/>
    </xf>
    <xf numFmtId="0" fontId="39" fillId="5" borderId="10" xfId="0" applyFont="1" applyFill="1" applyBorder="1" applyAlignment="1" applyProtection="1">
      <alignment horizontal="justify" vertical="center" wrapText="1" shrinkToFit="1" readingOrder="1"/>
    </xf>
    <xf numFmtId="0" fontId="39" fillId="5" borderId="11" xfId="0" applyFont="1" applyFill="1" applyBorder="1" applyAlignment="1" applyProtection="1">
      <alignment horizontal="justify" vertical="center" wrapText="1" shrinkToFit="1" readingOrder="1"/>
    </xf>
    <xf numFmtId="0" fontId="39" fillId="5" borderId="21" xfId="0" applyFont="1" applyFill="1" applyBorder="1" applyAlignment="1" applyProtection="1">
      <alignment horizontal="justify" vertical="center" wrapText="1" shrinkToFit="1" readingOrder="1"/>
    </xf>
    <xf numFmtId="10" fontId="32" fillId="13" borderId="10" xfId="0" applyNumberFormat="1" applyFont="1" applyFill="1" applyBorder="1" applyAlignment="1" applyProtection="1">
      <alignment horizontal="center"/>
    </xf>
    <xf numFmtId="10" fontId="32" fillId="13" borderId="11" xfId="0" applyNumberFormat="1" applyFont="1" applyFill="1" applyBorder="1" applyAlignment="1" applyProtection="1">
      <alignment horizontal="center"/>
    </xf>
    <xf numFmtId="10" fontId="32" fillId="13" borderId="21" xfId="0" applyNumberFormat="1" applyFont="1" applyFill="1" applyBorder="1" applyAlignment="1" applyProtection="1">
      <alignment horizontal="center"/>
    </xf>
    <xf numFmtId="0" fontId="32" fillId="14" borderId="3" xfId="0" applyFont="1" applyFill="1" applyBorder="1" applyAlignment="1" applyProtection="1">
      <alignment horizontal="left"/>
    </xf>
    <xf numFmtId="0" fontId="32" fillId="14" borderId="0" xfId="0" applyFont="1" applyFill="1" applyBorder="1" applyAlignment="1" applyProtection="1">
      <alignment horizontal="left"/>
    </xf>
    <xf numFmtId="3" fontId="32" fillId="13" borderId="1" xfId="0" applyNumberFormat="1" applyFont="1" applyFill="1" applyBorder="1" applyAlignment="1" applyProtection="1">
      <alignment horizontal="center" vertical="center" wrapText="1"/>
    </xf>
    <xf numFmtId="3" fontId="32" fillId="13" borderId="0" xfId="0" applyNumberFormat="1" applyFont="1" applyFill="1" applyBorder="1" applyAlignment="1" applyProtection="1">
      <alignment horizontal="center" vertical="center" wrapText="1"/>
    </xf>
    <xf numFmtId="0" fontId="32" fillId="13" borderId="10" xfId="0" applyFont="1" applyFill="1" applyBorder="1" applyAlignment="1" applyProtection="1">
      <alignment horizontal="left"/>
    </xf>
    <xf numFmtId="0" fontId="32" fillId="13" borderId="11" xfId="0" applyFont="1" applyFill="1" applyBorder="1" applyAlignment="1" applyProtection="1">
      <alignment horizontal="left"/>
    </xf>
    <xf numFmtId="0" fontId="38" fillId="5" borderId="0" xfId="0" applyFont="1" applyFill="1" applyBorder="1" applyAlignment="1" applyProtection="1">
      <alignment horizontal="center" wrapText="1"/>
    </xf>
    <xf numFmtId="0" fontId="30" fillId="5" borderId="0" xfId="0" applyFont="1" applyFill="1" applyBorder="1" applyAlignment="1" applyProtection="1">
      <alignment horizontal="center"/>
    </xf>
    <xf numFmtId="3" fontId="32" fillId="13" borderId="8" xfId="0" applyNumberFormat="1" applyFont="1" applyFill="1" applyBorder="1" applyAlignment="1" applyProtection="1">
      <alignment horizontal="center" vertical="center" wrapText="1"/>
    </xf>
    <xf numFmtId="3" fontId="32" fillId="13" borderId="9" xfId="0" applyNumberFormat="1" applyFont="1" applyFill="1" applyBorder="1" applyAlignment="1" applyProtection="1">
      <alignment horizontal="center" vertical="center" wrapText="1"/>
    </xf>
    <xf numFmtId="0" fontId="32" fillId="13" borderId="2" xfId="0" applyFont="1" applyFill="1" applyBorder="1" applyAlignment="1" applyProtection="1">
      <alignment horizontal="left"/>
    </xf>
    <xf numFmtId="0" fontId="32" fillId="13" borderId="1" xfId="0" applyFont="1" applyFill="1" applyBorder="1" applyAlignment="1" applyProtection="1">
      <alignment horizontal="left"/>
    </xf>
    <xf numFmtId="0" fontId="32" fillId="14" borderId="2" xfId="0" applyFont="1" applyFill="1" applyBorder="1" applyAlignment="1" applyProtection="1">
      <alignment horizontal="left"/>
    </xf>
    <xf numFmtId="0" fontId="32" fillId="14" borderId="1" xfId="0" applyFont="1" applyFill="1" applyBorder="1" applyAlignment="1" applyProtection="1">
      <alignment horizontal="left"/>
    </xf>
    <xf numFmtId="0" fontId="31" fillId="5" borderId="15" xfId="0" applyFont="1" applyFill="1" applyBorder="1" applyAlignment="1" applyProtection="1">
      <alignment horizontal="center"/>
    </xf>
    <xf numFmtId="0" fontId="31" fillId="5" borderId="0" xfId="0" applyFont="1" applyFill="1" applyBorder="1" applyAlignment="1" applyProtection="1">
      <alignment horizontal="center"/>
    </xf>
    <xf numFmtId="10" fontId="1" fillId="5" borderId="0" xfId="0" applyNumberFormat="1" applyFont="1" applyFill="1" applyBorder="1" applyAlignment="1" applyProtection="1">
      <alignment horizontal="center" wrapText="1"/>
    </xf>
    <xf numFmtId="0" fontId="36" fillId="5" borderId="2" xfId="0" applyFont="1" applyFill="1" applyBorder="1" applyAlignment="1" applyProtection="1">
      <alignment horizontal="center" vertical="center" wrapText="1"/>
    </xf>
    <xf numFmtId="0" fontId="37" fillId="0" borderId="1" xfId="0" applyFont="1" applyBorder="1" applyAlignment="1" applyProtection="1">
      <alignment vertical="center" wrapText="1"/>
    </xf>
    <xf numFmtId="0" fontId="37" fillId="0" borderId="8" xfId="0" applyFont="1" applyBorder="1" applyAlignment="1" applyProtection="1">
      <alignment vertical="center" wrapText="1"/>
    </xf>
    <xf numFmtId="10" fontId="32" fillId="13" borderId="3" xfId="4" applyNumberFormat="1" applyFont="1" applyFill="1" applyBorder="1" applyAlignment="1" applyProtection="1">
      <alignment horizontal="center" vertical="center" wrapText="1"/>
    </xf>
    <xf numFmtId="3" fontId="1" fillId="5" borderId="18" xfId="0" applyNumberFormat="1" applyFont="1" applyFill="1" applyBorder="1" applyAlignment="1" applyProtection="1">
      <alignment horizontal="center" vertical="top" wrapText="1"/>
    </xf>
    <xf numFmtId="3" fontId="1" fillId="5" borderId="39" xfId="0" applyNumberFormat="1" applyFont="1" applyFill="1" applyBorder="1" applyAlignment="1" applyProtection="1">
      <alignment horizontal="center" vertical="top" wrapText="1"/>
    </xf>
    <xf numFmtId="10" fontId="3" fillId="5" borderId="42" xfId="4" applyNumberFormat="1" applyFont="1" applyFill="1" applyBorder="1" applyAlignment="1" applyProtection="1">
      <alignment horizontal="center" vertical="top" wrapText="1"/>
    </xf>
    <xf numFmtId="10" fontId="5" fillId="5" borderId="12" xfId="0" applyNumberFormat="1" applyFont="1" applyFill="1" applyBorder="1" applyAlignment="1" applyProtection="1">
      <alignment horizontal="center"/>
    </xf>
    <xf numFmtId="10" fontId="5" fillId="5" borderId="6" xfId="0" applyNumberFormat="1" applyFont="1" applyFill="1" applyBorder="1" applyAlignment="1" applyProtection="1">
      <alignment horizontal="center"/>
    </xf>
    <xf numFmtId="10" fontId="5" fillId="5" borderId="7" xfId="0" applyNumberFormat="1" applyFont="1" applyFill="1" applyBorder="1" applyAlignment="1" applyProtection="1">
      <alignment horizontal="center"/>
    </xf>
    <xf numFmtId="3" fontId="1" fillId="5" borderId="0" xfId="0" applyNumberFormat="1" applyFont="1" applyFill="1" applyBorder="1" applyAlignment="1" applyProtection="1">
      <alignment horizontal="center" vertical="top" wrapText="1"/>
    </xf>
    <xf numFmtId="3" fontId="1" fillId="5" borderId="16" xfId="0" applyNumberFormat="1" applyFont="1" applyFill="1" applyBorder="1" applyAlignment="1" applyProtection="1">
      <alignment horizontal="center" vertical="top" wrapText="1"/>
    </xf>
    <xf numFmtId="0" fontId="0" fillId="5" borderId="15" xfId="0" applyFill="1" applyBorder="1" applyAlignment="1" applyProtection="1">
      <alignment horizontal="center" vertical="top" wrapText="1"/>
    </xf>
    <xf numFmtId="10" fontId="5" fillId="5" borderId="7" xfId="0" applyNumberFormat="1" applyFont="1" applyFill="1" applyBorder="1" applyAlignment="1" applyProtection="1">
      <alignment horizontal="center" vertical="top" wrapText="1"/>
    </xf>
    <xf numFmtId="0" fontId="0" fillId="5" borderId="16" xfId="0" applyFill="1" applyBorder="1" applyAlignment="1" applyProtection="1">
      <alignment horizontal="center" vertical="top" wrapText="1"/>
    </xf>
    <xf numFmtId="0" fontId="38" fillId="0" borderId="0" xfId="0" applyFont="1" applyFill="1" applyBorder="1" applyAlignment="1" applyProtection="1">
      <alignment horizontal="center" wrapText="1"/>
    </xf>
  </cellXfs>
  <cellStyles count="5">
    <cellStyle name="Millares" xfId="1" builtinId="3"/>
    <cellStyle name="Moneda" xfId="2" builtinId="4"/>
    <cellStyle name="Normal" xfId="0" builtinId="0"/>
    <cellStyle name="Normal 2"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0</xdr:row>
      <xdr:rowOff>276225</xdr:rowOff>
    </xdr:from>
    <xdr:to>
      <xdr:col>7</xdr:col>
      <xdr:colOff>38100</xdr:colOff>
      <xdr:row>3</xdr:row>
      <xdr:rowOff>219075</xdr:rowOff>
    </xdr:to>
    <xdr:pic>
      <xdr:nvPicPr>
        <xdr:cNvPr id="13362"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276225"/>
          <a:ext cx="2409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628650</xdr:colOff>
      <xdr:row>0</xdr:row>
      <xdr:rowOff>295275</xdr:rowOff>
    </xdr:from>
    <xdr:to>
      <xdr:col>16</xdr:col>
      <xdr:colOff>723900</xdr:colOff>
      <xdr:row>3</xdr:row>
      <xdr:rowOff>209550</xdr:rowOff>
    </xdr:to>
    <xdr:pic>
      <xdr:nvPicPr>
        <xdr:cNvPr id="13363"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10725" y="295275"/>
          <a:ext cx="12573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571500</xdr:colOff>
      <xdr:row>0</xdr:row>
      <xdr:rowOff>228600</xdr:rowOff>
    </xdr:from>
    <xdr:to>
      <xdr:col>7</xdr:col>
      <xdr:colOff>47625</xdr:colOff>
      <xdr:row>3</xdr:row>
      <xdr:rowOff>171450</xdr:rowOff>
    </xdr:to>
    <xdr:pic>
      <xdr:nvPicPr>
        <xdr:cNvPr id="1192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228600"/>
          <a:ext cx="2409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200025</xdr:colOff>
      <xdr:row>0</xdr:row>
      <xdr:rowOff>333375</xdr:rowOff>
    </xdr:from>
    <xdr:to>
      <xdr:col>17</xdr:col>
      <xdr:colOff>352425</xdr:colOff>
      <xdr:row>4</xdr:row>
      <xdr:rowOff>9525</xdr:rowOff>
    </xdr:to>
    <xdr:pic>
      <xdr:nvPicPr>
        <xdr:cNvPr id="11925"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63075" y="333375"/>
          <a:ext cx="12573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8"/>
  <sheetViews>
    <sheetView tabSelected="1" zoomScale="80" zoomScaleNormal="80" workbookViewId="0">
      <selection activeCell="D13" sqref="D13"/>
    </sheetView>
  </sheetViews>
  <sheetFormatPr baseColWidth="10" defaultRowHeight="15" x14ac:dyDescent="0.25"/>
  <cols>
    <col min="1" max="1" width="2.140625" style="24" customWidth="1"/>
    <col min="2" max="2" width="15.28515625" style="182" customWidth="1"/>
    <col min="3" max="3" width="10.42578125" style="185" customWidth="1"/>
    <col min="4" max="4" width="14.7109375" style="24" customWidth="1"/>
    <col min="5" max="5" width="3.42578125" style="24" customWidth="1"/>
    <col min="6" max="7" width="12.140625" style="24" hidden="1" customWidth="1"/>
    <col min="8" max="9" width="12.140625" style="24" customWidth="1"/>
    <col min="10" max="10" width="12.42578125" style="24" customWidth="1"/>
    <col min="11" max="11" width="12.28515625" style="24" bestFit="1" customWidth="1"/>
    <col min="12" max="12" width="14.85546875" style="24" customWidth="1"/>
    <col min="13" max="13" width="13.42578125" style="24" customWidth="1"/>
    <col min="14" max="14" width="14.28515625" style="24" hidden="1" customWidth="1"/>
    <col min="15" max="15" width="11.42578125" style="24" bestFit="1" customWidth="1"/>
    <col min="16" max="16" width="17.42578125" style="24" customWidth="1"/>
    <col min="17" max="17" width="10.85546875" style="24" customWidth="1"/>
    <col min="18" max="18" width="12" style="24" customWidth="1"/>
    <col min="19" max="19" width="3.140625" style="24" customWidth="1"/>
    <col min="20" max="20" width="4.140625" style="22" customWidth="1"/>
    <col min="21" max="21" width="12" style="22" bestFit="1" customWidth="1"/>
    <col min="22" max="22" width="12.5703125" style="22" customWidth="1"/>
    <col min="23" max="23" width="16.7109375" style="23" customWidth="1"/>
    <col min="24" max="24" width="14.7109375" style="23" bestFit="1" customWidth="1"/>
    <col min="25" max="25" width="12.28515625" style="24" bestFit="1" customWidth="1"/>
    <col min="26" max="26" width="9.28515625" style="24" bestFit="1" customWidth="1"/>
    <col min="27" max="27" width="16" style="24" bestFit="1" customWidth="1"/>
    <col min="28" max="28" width="12" style="24" bestFit="1" customWidth="1"/>
    <col min="29" max="29" width="12.140625" style="24" bestFit="1" customWidth="1"/>
    <col min="30" max="30" width="8.85546875" style="24" bestFit="1" customWidth="1"/>
    <col min="31" max="31" width="14.7109375" style="24" bestFit="1" customWidth="1"/>
    <col min="32" max="32" width="13.7109375" style="24" bestFit="1" customWidth="1"/>
    <col min="33" max="33" width="13.28515625" style="24" customWidth="1"/>
    <col min="34" max="34" width="16" style="24" bestFit="1" customWidth="1"/>
    <col min="35" max="35" width="11.42578125" style="24" customWidth="1"/>
    <col min="36" max="16384" width="11.42578125" style="24"/>
  </cols>
  <sheetData>
    <row r="1" spans="1:22" ht="37.5" customHeight="1" x14ac:dyDescent="0.45">
      <c r="A1" s="19"/>
      <c r="B1" s="20"/>
      <c r="C1" s="21"/>
      <c r="D1" s="19"/>
      <c r="E1" s="19"/>
      <c r="F1" s="19"/>
      <c r="G1" s="19"/>
      <c r="H1" s="291" t="s">
        <v>65</v>
      </c>
      <c r="I1" s="291"/>
      <c r="J1" s="291"/>
      <c r="K1" s="291"/>
      <c r="L1" s="291"/>
      <c r="M1" s="291"/>
      <c r="N1" s="19"/>
      <c r="O1" s="19"/>
      <c r="P1" s="19"/>
      <c r="Q1" s="19"/>
      <c r="R1" s="19"/>
      <c r="S1" s="19"/>
    </row>
    <row r="2" spans="1:22" ht="18.75" x14ac:dyDescent="0.3">
      <c r="A2" s="19"/>
      <c r="B2" s="20"/>
      <c r="C2" s="21"/>
      <c r="D2" s="19"/>
      <c r="E2" s="19"/>
      <c r="F2" s="19"/>
      <c r="G2" s="19"/>
      <c r="H2" s="292" t="s">
        <v>66</v>
      </c>
      <c r="I2" s="292"/>
      <c r="J2" s="292"/>
      <c r="K2" s="292"/>
      <c r="L2" s="292"/>
      <c r="M2" s="292"/>
      <c r="N2" s="19"/>
      <c r="O2" s="19"/>
      <c r="P2" s="19"/>
      <c r="Q2" s="25"/>
      <c r="R2" s="26"/>
      <c r="S2" s="26"/>
    </row>
    <row r="3" spans="1:22" ht="18.75" customHeight="1" x14ac:dyDescent="0.3">
      <c r="A3" s="19"/>
      <c r="B3" s="20"/>
      <c r="C3" s="21"/>
      <c r="D3" s="19"/>
      <c r="E3" s="19"/>
      <c r="F3" s="19"/>
      <c r="G3" s="19"/>
      <c r="H3" s="292" t="s">
        <v>34</v>
      </c>
      <c r="I3" s="292"/>
      <c r="J3" s="292"/>
      <c r="K3" s="292"/>
      <c r="L3" s="292"/>
      <c r="M3" s="292"/>
      <c r="N3" s="19"/>
      <c r="O3" s="19"/>
      <c r="P3" s="19"/>
      <c r="Q3" s="27"/>
      <c r="R3" s="19"/>
      <c r="S3" s="19"/>
    </row>
    <row r="4" spans="1:22" ht="18.75" customHeight="1" x14ac:dyDescent="0.3">
      <c r="A4" s="19"/>
      <c r="B4" s="20"/>
      <c r="C4" s="21"/>
      <c r="D4" s="19"/>
      <c r="E4" s="19"/>
      <c r="F4" s="19"/>
      <c r="G4" s="19"/>
      <c r="H4" s="28"/>
      <c r="I4" s="28"/>
      <c r="J4" s="28"/>
      <c r="K4" s="28"/>
      <c r="L4" s="28"/>
      <c r="M4" s="28"/>
      <c r="N4" s="19"/>
      <c r="O4" s="19"/>
      <c r="P4" s="19"/>
      <c r="Q4" s="27"/>
      <c r="R4" s="19"/>
      <c r="S4" s="19"/>
    </row>
    <row r="5" spans="1:22" ht="15.75" x14ac:dyDescent="0.25">
      <c r="A5" s="19"/>
      <c r="B5" s="20"/>
      <c r="C5" s="21"/>
      <c r="D5" s="19"/>
      <c r="E5" s="19"/>
      <c r="F5" s="19"/>
      <c r="G5" s="19"/>
      <c r="H5" s="29"/>
      <c r="I5" s="29"/>
      <c r="J5" s="29"/>
      <c r="K5" s="29"/>
      <c r="L5" s="29"/>
      <c r="M5" s="29"/>
      <c r="N5" s="19"/>
      <c r="O5" s="19"/>
      <c r="P5" s="19"/>
      <c r="Q5" s="27"/>
      <c r="R5" s="19"/>
      <c r="S5" s="19"/>
    </row>
    <row r="6" spans="1:22" ht="15" customHeight="1" x14ac:dyDescent="0.25">
      <c r="A6" s="19"/>
      <c r="B6" s="20"/>
      <c r="C6" s="21"/>
      <c r="D6" s="19"/>
      <c r="E6" s="19"/>
      <c r="F6" s="19"/>
      <c r="G6" s="19"/>
      <c r="H6" s="302" t="s">
        <v>27</v>
      </c>
      <c r="I6" s="303"/>
      <c r="J6" s="303"/>
      <c r="K6" s="303"/>
      <c r="L6" s="303"/>
      <c r="M6" s="304"/>
      <c r="N6" s="19"/>
      <c r="O6" s="19"/>
      <c r="P6" s="19"/>
      <c r="Q6" s="27"/>
      <c r="R6" s="19"/>
      <c r="S6" s="19"/>
    </row>
    <row r="7" spans="1:22" ht="15.75" customHeight="1" x14ac:dyDescent="0.25">
      <c r="A7" s="19"/>
      <c r="B7" s="295" t="s">
        <v>40</v>
      </c>
      <c r="C7" s="296"/>
      <c r="D7" s="232">
        <f>+D35</f>
        <v>44011</v>
      </c>
      <c r="E7" s="30"/>
      <c r="F7" s="31"/>
      <c r="G7" s="19"/>
      <c r="H7" s="282" t="s">
        <v>50</v>
      </c>
      <c r="I7" s="283"/>
      <c r="J7" s="283"/>
      <c r="K7" s="283"/>
      <c r="L7" s="283"/>
      <c r="M7" s="284"/>
      <c r="N7" s="19"/>
      <c r="O7" s="32"/>
      <c r="P7" s="273" t="s">
        <v>51</v>
      </c>
      <c r="Q7" s="274"/>
      <c r="R7" s="275"/>
      <c r="S7" s="31"/>
    </row>
    <row r="8" spans="1:22" ht="15.75" customHeight="1" x14ac:dyDescent="0.25">
      <c r="A8" s="19"/>
      <c r="B8" s="250" t="s">
        <v>59</v>
      </c>
      <c r="C8" s="251"/>
      <c r="D8" s="233">
        <f>+D32</f>
        <v>44009</v>
      </c>
      <c r="E8" s="33"/>
      <c r="F8" s="31"/>
      <c r="G8" s="19"/>
      <c r="H8" s="305" t="s">
        <v>35</v>
      </c>
      <c r="I8" s="271" t="s">
        <v>45</v>
      </c>
      <c r="J8" s="287" t="s">
        <v>46</v>
      </c>
      <c r="K8" s="287" t="s">
        <v>47</v>
      </c>
      <c r="L8" s="287" t="s">
        <v>49</v>
      </c>
      <c r="M8" s="293" t="s">
        <v>48</v>
      </c>
      <c r="N8" s="19"/>
      <c r="O8" s="32"/>
      <c r="P8" s="276"/>
      <c r="Q8" s="277"/>
      <c r="R8" s="278"/>
      <c r="S8" s="31"/>
    </row>
    <row r="9" spans="1:22" ht="15.75" customHeight="1" x14ac:dyDescent="0.25">
      <c r="A9" s="19"/>
      <c r="B9" s="250" t="s">
        <v>28</v>
      </c>
      <c r="C9" s="251"/>
      <c r="D9" s="234">
        <v>78000000</v>
      </c>
      <c r="E9" s="33"/>
      <c r="F9" s="31"/>
      <c r="G9" s="19"/>
      <c r="H9" s="305"/>
      <c r="I9" s="272"/>
      <c r="J9" s="288"/>
      <c r="K9" s="288"/>
      <c r="L9" s="288"/>
      <c r="M9" s="294"/>
      <c r="N9" s="19"/>
      <c r="O9" s="32"/>
      <c r="P9" s="276"/>
      <c r="Q9" s="277"/>
      <c r="R9" s="278"/>
      <c r="S9" s="31"/>
    </row>
    <row r="10" spans="1:22" ht="15.75" customHeight="1" x14ac:dyDescent="0.25">
      <c r="A10" s="19"/>
      <c r="B10" s="250" t="s">
        <v>31</v>
      </c>
      <c r="C10" s="251"/>
      <c r="D10" s="235">
        <f>B31</f>
        <v>300</v>
      </c>
      <c r="E10" s="30"/>
      <c r="F10" s="35" t="s">
        <v>15</v>
      </c>
      <c r="G10" s="36" t="s">
        <v>26</v>
      </c>
      <c r="H10" s="37">
        <f>+D7</f>
        <v>44011</v>
      </c>
      <c r="I10" s="38"/>
      <c r="J10" s="38"/>
      <c r="K10" s="38"/>
      <c r="L10" s="38">
        <f>+D9</f>
        <v>78000000</v>
      </c>
      <c r="M10" s="39">
        <f>-L10*D17</f>
        <v>-79248261.013471454</v>
      </c>
      <c r="N10" s="40">
        <f>-SUM(N11:N20)</f>
        <v>-79248261.013471454</v>
      </c>
      <c r="O10" s="32"/>
      <c r="P10" s="276"/>
      <c r="Q10" s="277"/>
      <c r="R10" s="278"/>
      <c r="S10" s="31"/>
    </row>
    <row r="11" spans="1:22" ht="15.75" customHeight="1" x14ac:dyDescent="0.25">
      <c r="A11" s="19"/>
      <c r="B11" s="250" t="s">
        <v>29</v>
      </c>
      <c r="C11" s="251"/>
      <c r="D11" s="236">
        <f>C33</f>
        <v>0.3</v>
      </c>
      <c r="E11" s="33"/>
      <c r="F11" s="41">
        <f t="shared" ref="F11:F19" si="0">+(H11-$D$35)</f>
        <v>28</v>
      </c>
      <c r="G11" s="17">
        <v>30</v>
      </c>
      <c r="H11" s="42">
        <f t="shared" ref="H11:H18" si="1">+D36</f>
        <v>44039</v>
      </c>
      <c r="I11" s="43">
        <f>J11+K11</f>
        <v>9899589.0410958901</v>
      </c>
      <c r="J11" s="43">
        <f t="shared" ref="J11:J20" si="2">+L36</f>
        <v>2099589.0410958906</v>
      </c>
      <c r="K11" s="43">
        <f t="shared" ref="K11:K20" si="3">+M36</f>
        <v>7800000</v>
      </c>
      <c r="L11" s="43">
        <f>IF((L10-K11)&lt;0,0,(L10-K11))</f>
        <v>70200000</v>
      </c>
      <c r="M11" s="44">
        <f t="shared" ref="M11:M19" si="4">J11+K11</f>
        <v>9899589.0410958901</v>
      </c>
      <c r="N11" s="45">
        <f t="shared" ref="N11:N20" si="5">J36/(1+$D$14)^(F11/365)</f>
        <v>9529547.7312047891</v>
      </c>
      <c r="O11" s="32"/>
      <c r="P11" s="276"/>
      <c r="Q11" s="277"/>
      <c r="R11" s="278"/>
      <c r="S11" s="31"/>
      <c r="V11" s="23"/>
    </row>
    <row r="12" spans="1:22" ht="15.75" customHeight="1" x14ac:dyDescent="0.25">
      <c r="A12" s="19"/>
      <c r="B12" s="250" t="s">
        <v>30</v>
      </c>
      <c r="C12" s="251"/>
      <c r="D12" s="236">
        <f>C34</f>
        <v>0.4</v>
      </c>
      <c r="E12" s="33"/>
      <c r="F12" s="41">
        <f t="shared" si="0"/>
        <v>57</v>
      </c>
      <c r="G12" s="17">
        <v>30</v>
      </c>
      <c r="H12" s="42">
        <f t="shared" si="1"/>
        <v>44068</v>
      </c>
      <c r="I12" s="46">
        <f t="shared" ref="I12:I19" si="6">J12+K12</f>
        <v>9626642.4657534249</v>
      </c>
      <c r="J12" s="46">
        <f t="shared" si="2"/>
        <v>1826642.4657534247</v>
      </c>
      <c r="K12" s="46">
        <f t="shared" si="3"/>
        <v>7800000</v>
      </c>
      <c r="L12" s="46">
        <f t="shared" ref="L12:L19" si="7">IF((L11-K12)&lt;0,0,(L11-K12))</f>
        <v>62400000</v>
      </c>
      <c r="M12" s="34">
        <f t="shared" si="4"/>
        <v>9626642.4657534249</v>
      </c>
      <c r="N12" s="45">
        <f t="shared" si="5"/>
        <v>9092965.9246873297</v>
      </c>
      <c r="O12" s="32"/>
      <c r="P12" s="276"/>
      <c r="Q12" s="277"/>
      <c r="R12" s="278"/>
      <c r="S12" s="31"/>
      <c r="V12" s="23"/>
    </row>
    <row r="13" spans="1:22" ht="15.75" customHeight="1" x14ac:dyDescent="0.25">
      <c r="A13" s="19"/>
      <c r="B13" s="297" t="s">
        <v>44</v>
      </c>
      <c r="C13" s="298"/>
      <c r="D13" s="242">
        <v>0.29749999999999999</v>
      </c>
      <c r="E13" s="33"/>
      <c r="F13" s="41">
        <f t="shared" si="0"/>
        <v>88</v>
      </c>
      <c r="G13" s="17">
        <v>30</v>
      </c>
      <c r="H13" s="42">
        <f t="shared" si="1"/>
        <v>44099</v>
      </c>
      <c r="I13" s="43">
        <f t="shared" si="6"/>
        <v>9535660.2739726026</v>
      </c>
      <c r="J13" s="43">
        <f t="shared" si="2"/>
        <v>1735660.2739726028</v>
      </c>
      <c r="K13" s="43">
        <f t="shared" si="3"/>
        <v>7800000</v>
      </c>
      <c r="L13" s="43">
        <f t="shared" si="7"/>
        <v>54600000</v>
      </c>
      <c r="M13" s="44">
        <f t="shared" si="4"/>
        <v>9535660.2739726026</v>
      </c>
      <c r="N13" s="45">
        <f t="shared" si="5"/>
        <v>8814354.7540165801</v>
      </c>
      <c r="O13" s="32"/>
      <c r="P13" s="276"/>
      <c r="Q13" s="277"/>
      <c r="R13" s="278"/>
      <c r="S13" s="31"/>
      <c r="V13" s="23"/>
    </row>
    <row r="14" spans="1:22" ht="15.75" customHeight="1" x14ac:dyDescent="0.25">
      <c r="A14" s="19"/>
      <c r="B14" s="285" t="s">
        <v>32</v>
      </c>
      <c r="C14" s="286"/>
      <c r="D14" s="243">
        <v>0.3</v>
      </c>
      <c r="E14" s="33"/>
      <c r="F14" s="41">
        <f t="shared" si="0"/>
        <v>119</v>
      </c>
      <c r="G14" s="17">
        <v>30</v>
      </c>
      <c r="H14" s="42">
        <f t="shared" si="1"/>
        <v>44130</v>
      </c>
      <c r="I14" s="46">
        <f t="shared" si="6"/>
        <v>9318702.7397260275</v>
      </c>
      <c r="J14" s="46">
        <f t="shared" si="2"/>
        <v>1518702.7397260275</v>
      </c>
      <c r="K14" s="46">
        <f t="shared" si="3"/>
        <v>7800000</v>
      </c>
      <c r="L14" s="46">
        <f t="shared" si="7"/>
        <v>46800000</v>
      </c>
      <c r="M14" s="34">
        <f t="shared" si="4"/>
        <v>9318702.7397260275</v>
      </c>
      <c r="N14" s="45">
        <f t="shared" si="5"/>
        <v>8437669.7345341444</v>
      </c>
      <c r="O14" s="32"/>
      <c r="P14" s="276"/>
      <c r="Q14" s="277"/>
      <c r="R14" s="278"/>
      <c r="S14" s="31"/>
      <c r="V14" s="23"/>
    </row>
    <row r="15" spans="1:22" ht="15.75" customHeight="1" x14ac:dyDescent="0.25">
      <c r="A15" s="19"/>
      <c r="B15" s="248" t="s">
        <v>37</v>
      </c>
      <c r="C15" s="249" t="s">
        <v>36</v>
      </c>
      <c r="D15" s="244">
        <v>78000000</v>
      </c>
      <c r="E15" s="33"/>
      <c r="F15" s="41">
        <f t="shared" si="0"/>
        <v>149</v>
      </c>
      <c r="G15" s="17">
        <v>30</v>
      </c>
      <c r="H15" s="42">
        <f t="shared" si="1"/>
        <v>44160</v>
      </c>
      <c r="I15" s="43">
        <f t="shared" si="6"/>
        <v>9059753.4246575348</v>
      </c>
      <c r="J15" s="43">
        <f t="shared" si="2"/>
        <v>1259753.4246575343</v>
      </c>
      <c r="K15" s="43">
        <f t="shared" si="3"/>
        <v>7800000</v>
      </c>
      <c r="L15" s="43">
        <f t="shared" si="7"/>
        <v>39000000</v>
      </c>
      <c r="M15" s="44">
        <f t="shared" si="4"/>
        <v>9059753.4246575348</v>
      </c>
      <c r="N15" s="45">
        <f t="shared" si="5"/>
        <v>8044553.0286669526</v>
      </c>
      <c r="O15" s="32"/>
      <c r="P15" s="276"/>
      <c r="Q15" s="277"/>
      <c r="R15" s="278"/>
      <c r="S15" s="31"/>
      <c r="V15" s="23"/>
    </row>
    <row r="16" spans="1:22" ht="15.75" customHeight="1" x14ac:dyDescent="0.25">
      <c r="A16" s="19"/>
      <c r="B16" s="250" t="s">
        <v>41</v>
      </c>
      <c r="C16" s="251"/>
      <c r="D16" s="237">
        <f>+D15*D17</f>
        <v>79248261.013471454</v>
      </c>
      <c r="E16" s="33"/>
      <c r="F16" s="41">
        <f t="shared" si="0"/>
        <v>182</v>
      </c>
      <c r="G16" s="17">
        <v>30</v>
      </c>
      <c r="H16" s="42">
        <f t="shared" si="1"/>
        <v>44193</v>
      </c>
      <c r="I16" s="46">
        <f t="shared" si="6"/>
        <v>8954773.9726027399</v>
      </c>
      <c r="J16" s="46">
        <f t="shared" si="2"/>
        <v>1154773.9726027397</v>
      </c>
      <c r="K16" s="46">
        <f t="shared" si="3"/>
        <v>7800000</v>
      </c>
      <c r="L16" s="46">
        <f t="shared" si="7"/>
        <v>31200000</v>
      </c>
      <c r="M16" s="34">
        <f t="shared" si="4"/>
        <v>8954773.9726027399</v>
      </c>
      <c r="N16" s="45">
        <f t="shared" si="5"/>
        <v>7771604.1766594248</v>
      </c>
      <c r="O16" s="32"/>
      <c r="P16" s="276"/>
      <c r="Q16" s="277"/>
      <c r="R16" s="278"/>
      <c r="S16" s="31"/>
      <c r="V16" s="23"/>
    </row>
    <row r="17" spans="1:34" ht="15.75" customHeight="1" x14ac:dyDescent="0.25">
      <c r="A17" s="19"/>
      <c r="B17" s="250" t="s">
        <v>52</v>
      </c>
      <c r="C17" s="251"/>
      <c r="D17" s="238">
        <f>$N$10/$J$35</f>
        <v>1.0160033463265572</v>
      </c>
      <c r="E17" s="33"/>
      <c r="F17" s="41">
        <f t="shared" si="0"/>
        <v>210</v>
      </c>
      <c r="G17" s="17">
        <v>30</v>
      </c>
      <c r="H17" s="42">
        <f t="shared" si="1"/>
        <v>44221</v>
      </c>
      <c r="I17" s="43">
        <f t="shared" si="6"/>
        <v>8583846.5753424652</v>
      </c>
      <c r="J17" s="43">
        <f t="shared" si="2"/>
        <v>783846.57534246577</v>
      </c>
      <c r="K17" s="43">
        <f t="shared" si="3"/>
        <v>7800000</v>
      </c>
      <c r="L17" s="43">
        <f t="shared" si="7"/>
        <v>23400000</v>
      </c>
      <c r="M17" s="44">
        <f t="shared" si="4"/>
        <v>8583846.5753424652</v>
      </c>
      <c r="N17" s="45">
        <f t="shared" si="5"/>
        <v>7324577.2388869599</v>
      </c>
      <c r="O17" s="32"/>
      <c r="P17" s="276"/>
      <c r="Q17" s="277"/>
      <c r="R17" s="278"/>
      <c r="S17" s="31"/>
      <c r="V17" s="23"/>
    </row>
    <row r="18" spans="1:34" ht="15.75" customHeight="1" x14ac:dyDescent="0.25">
      <c r="A18" s="19"/>
      <c r="B18" s="250" t="s">
        <v>42</v>
      </c>
      <c r="C18" s="251"/>
      <c r="D18" s="234">
        <f>-J35*D17</f>
        <v>79248261.013471454</v>
      </c>
      <c r="E18" s="33"/>
      <c r="F18" s="41">
        <f t="shared" si="0"/>
        <v>241</v>
      </c>
      <c r="G18" s="17">
        <v>30</v>
      </c>
      <c r="H18" s="42">
        <f t="shared" si="1"/>
        <v>44252</v>
      </c>
      <c r="I18" s="46">
        <f t="shared" si="6"/>
        <v>8450872.6027397253</v>
      </c>
      <c r="J18" s="46">
        <f t="shared" si="2"/>
        <v>650872.60273972608</v>
      </c>
      <c r="K18" s="46">
        <f t="shared" si="3"/>
        <v>7800000</v>
      </c>
      <c r="L18" s="46">
        <f t="shared" si="7"/>
        <v>15600000</v>
      </c>
      <c r="M18" s="34">
        <f t="shared" si="4"/>
        <v>8450872.6027397253</v>
      </c>
      <c r="N18" s="45">
        <f t="shared" si="5"/>
        <v>7060735.2581663476</v>
      </c>
      <c r="O18" s="32"/>
      <c r="P18" s="276"/>
      <c r="Q18" s="277"/>
      <c r="R18" s="278"/>
      <c r="S18" s="31"/>
      <c r="V18" s="23"/>
    </row>
    <row r="19" spans="1:34" ht="15.75" customHeight="1" x14ac:dyDescent="0.25">
      <c r="A19" s="19"/>
      <c r="B19" s="250" t="s">
        <v>33</v>
      </c>
      <c r="C19" s="251"/>
      <c r="D19" s="236">
        <f>IF(+(D13+(D10/10000))&gt;D12,D12,IF(+D13+(D10/10000)&lt;D11,D11,(+D13+(D10/10000))))</f>
        <v>0.32750000000000001</v>
      </c>
      <c r="E19" s="33"/>
      <c r="F19" s="41">
        <f t="shared" si="0"/>
        <v>269</v>
      </c>
      <c r="G19" s="17">
        <v>30</v>
      </c>
      <c r="H19" s="42">
        <f>+D44</f>
        <v>44280</v>
      </c>
      <c r="I19" s="43">
        <f t="shared" si="6"/>
        <v>8191923.2876712326</v>
      </c>
      <c r="J19" s="43">
        <f t="shared" si="2"/>
        <v>391923.28767123289</v>
      </c>
      <c r="K19" s="43">
        <f t="shared" si="3"/>
        <v>7800000</v>
      </c>
      <c r="L19" s="43">
        <f t="shared" si="7"/>
        <v>7800000</v>
      </c>
      <c r="M19" s="44">
        <f t="shared" si="4"/>
        <v>8191923.2876712326</v>
      </c>
      <c r="N19" s="45">
        <f t="shared" si="5"/>
        <v>6724546.306268503</v>
      </c>
      <c r="O19" s="32"/>
      <c r="P19" s="276"/>
      <c r="Q19" s="277"/>
      <c r="R19" s="278"/>
      <c r="S19" s="31"/>
      <c r="V19" s="23"/>
    </row>
    <row r="20" spans="1:34" ht="15.75" customHeight="1" x14ac:dyDescent="0.25">
      <c r="A20" s="19"/>
      <c r="B20" s="250" t="s">
        <v>38</v>
      </c>
      <c r="C20" s="251"/>
      <c r="D20" s="239">
        <f>XIRR(M10:M20,H10:H20,)</f>
        <v>0.3354918658733369</v>
      </c>
      <c r="E20" s="33"/>
      <c r="F20" s="41">
        <f>+(H20-$D$35)</f>
        <v>301</v>
      </c>
      <c r="G20" s="17">
        <v>31</v>
      </c>
      <c r="H20" s="42">
        <f>+D45</f>
        <v>44312</v>
      </c>
      <c r="I20" s="46">
        <f>J20+K20</f>
        <v>8023956.1643835614</v>
      </c>
      <c r="J20" s="46">
        <f t="shared" si="2"/>
        <v>223956.16438356164</v>
      </c>
      <c r="K20" s="46">
        <f t="shared" si="3"/>
        <v>7800000</v>
      </c>
      <c r="L20" s="46">
        <f>IF((L19-K20)&lt;0,0,(L19-K20))</f>
        <v>0</v>
      </c>
      <c r="M20" s="34">
        <f>J20+K20</f>
        <v>8023956.1643835614</v>
      </c>
      <c r="N20" s="45">
        <f t="shared" si="5"/>
        <v>6447706.8603804335</v>
      </c>
      <c r="O20" s="32"/>
      <c r="P20" s="276"/>
      <c r="Q20" s="277"/>
      <c r="R20" s="278"/>
      <c r="S20" s="31"/>
      <c r="V20" s="23"/>
    </row>
    <row r="21" spans="1:34" ht="15.75" customHeight="1" x14ac:dyDescent="0.25">
      <c r="A21" s="19"/>
      <c r="B21" s="250" t="s">
        <v>39</v>
      </c>
      <c r="C21" s="251"/>
      <c r="D21" s="236">
        <f>+((D20+1)^(0.0833333333333333)-1)*12</f>
        <v>0.2928151188552981</v>
      </c>
      <c r="E21" s="47"/>
      <c r="F21" s="48"/>
      <c r="G21" s="18"/>
      <c r="H21" s="49" t="s">
        <v>5</v>
      </c>
      <c r="I21" s="50"/>
      <c r="J21" s="51">
        <f>+SUM(J11:J20)</f>
        <v>11645720.547945205</v>
      </c>
      <c r="K21" s="51">
        <f>+SUM(K11:K20)</f>
        <v>78000000</v>
      </c>
      <c r="L21" s="51"/>
      <c r="M21" s="52">
        <f>+SUM(M11:M20)</f>
        <v>89645720.547945201</v>
      </c>
      <c r="N21" s="53"/>
      <c r="O21" s="32"/>
      <c r="P21" s="276"/>
      <c r="Q21" s="277"/>
      <c r="R21" s="278"/>
      <c r="S21" s="31"/>
      <c r="V21" s="23"/>
    </row>
    <row r="22" spans="1:34" ht="15.75" customHeight="1" x14ac:dyDescent="0.25">
      <c r="A22" s="19"/>
      <c r="B22" s="250" t="s">
        <v>43</v>
      </c>
      <c r="C22" s="251"/>
      <c r="D22" s="240">
        <f>+AG52</f>
        <v>5.0864918570955631</v>
      </c>
      <c r="E22" s="47"/>
      <c r="F22" s="19"/>
      <c r="G22" s="19"/>
      <c r="H22" s="19"/>
      <c r="I22" s="19"/>
      <c r="J22" s="19"/>
      <c r="K22" s="19"/>
      <c r="L22" s="19"/>
      <c r="M22" s="19"/>
      <c r="N22" s="19"/>
      <c r="O22" s="32"/>
      <c r="P22" s="276"/>
      <c r="Q22" s="277"/>
      <c r="R22" s="278"/>
      <c r="S22" s="31"/>
    </row>
    <row r="23" spans="1:34" ht="15.75" customHeight="1" x14ac:dyDescent="0.25">
      <c r="A23" s="19"/>
      <c r="B23" s="250" t="s">
        <v>63</v>
      </c>
      <c r="C23" s="251"/>
      <c r="D23" s="236">
        <f>B29</f>
        <v>-4.6848811447018912E-3</v>
      </c>
      <c r="E23" s="33"/>
      <c r="F23" s="19"/>
      <c r="G23" s="19"/>
      <c r="H23" s="19"/>
      <c r="I23" s="19"/>
      <c r="J23" s="19"/>
      <c r="K23" s="19"/>
      <c r="L23" s="19"/>
      <c r="M23" s="19"/>
      <c r="N23" s="19"/>
      <c r="O23" s="32"/>
      <c r="P23" s="276"/>
      <c r="Q23" s="277"/>
      <c r="R23" s="278"/>
      <c r="S23" s="31"/>
    </row>
    <row r="24" spans="1:34" ht="15.75" customHeight="1" x14ac:dyDescent="0.25">
      <c r="A24" s="19"/>
      <c r="B24" s="289" t="s">
        <v>60</v>
      </c>
      <c r="C24" s="290"/>
      <c r="D24" s="241" t="s">
        <v>61</v>
      </c>
      <c r="E24" s="31"/>
      <c r="F24" s="19"/>
      <c r="G24" s="19"/>
      <c r="H24" s="19"/>
      <c r="I24" s="19"/>
      <c r="J24" s="19"/>
      <c r="K24" s="19"/>
      <c r="L24" s="19"/>
      <c r="M24" s="19"/>
      <c r="N24" s="19"/>
      <c r="O24" s="32"/>
      <c r="P24" s="276"/>
      <c r="Q24" s="277"/>
      <c r="R24" s="278"/>
      <c r="S24" s="31"/>
    </row>
    <row r="25" spans="1:34" ht="15.75" customHeight="1" x14ac:dyDescent="0.25">
      <c r="A25" s="19"/>
      <c r="B25" s="19"/>
      <c r="C25" s="19"/>
      <c r="D25" s="19"/>
      <c r="E25" s="31"/>
      <c r="F25" s="19"/>
      <c r="G25" s="19"/>
      <c r="H25" s="19"/>
      <c r="I25" s="19"/>
      <c r="J25" s="19"/>
      <c r="K25" s="19"/>
      <c r="L25" s="19"/>
      <c r="M25" s="19"/>
      <c r="N25" s="19"/>
      <c r="O25" s="32"/>
      <c r="P25" s="279"/>
      <c r="Q25" s="280"/>
      <c r="R25" s="281"/>
      <c r="S25" s="31"/>
    </row>
    <row r="26" spans="1:34" ht="18" customHeight="1" x14ac:dyDescent="0.25">
      <c r="A26" s="19"/>
      <c r="B26" s="19"/>
      <c r="C26" s="19"/>
      <c r="D26" s="19"/>
      <c r="E26" s="31"/>
      <c r="F26" s="19"/>
      <c r="G26" s="19"/>
      <c r="H26" s="19"/>
      <c r="I26" s="19"/>
      <c r="J26" s="19"/>
      <c r="K26" s="19"/>
      <c r="L26" s="19"/>
      <c r="M26" s="19"/>
      <c r="N26" s="19"/>
      <c r="O26" s="31"/>
      <c r="P26" s="19"/>
      <c r="Q26" s="19"/>
      <c r="R26" s="19"/>
      <c r="S26" s="31"/>
    </row>
    <row r="27" spans="1:34" ht="12.75" hidden="1" customHeight="1" thickBot="1" x14ac:dyDescent="0.3">
      <c r="A27" s="19"/>
      <c r="B27" s="19"/>
      <c r="C27" s="54"/>
      <c r="D27" s="19"/>
      <c r="E27" s="19"/>
      <c r="F27" s="19"/>
      <c r="G27" s="19"/>
      <c r="H27" s="19"/>
      <c r="I27" s="19"/>
      <c r="J27" s="19"/>
      <c r="K27" s="19"/>
      <c r="L27" s="19"/>
      <c r="M27" s="19"/>
      <c r="N27" s="19"/>
      <c r="O27" s="19"/>
      <c r="P27" s="19"/>
      <c r="Q27" s="19"/>
      <c r="R27" s="19"/>
      <c r="S27" s="19"/>
    </row>
    <row r="28" spans="1:34" ht="15" hidden="1" customHeight="1" thickBot="1" x14ac:dyDescent="0.35">
      <c r="A28" s="55"/>
      <c r="B28" s="56" t="s">
        <v>12</v>
      </c>
      <c r="C28" s="54"/>
      <c r="D28" s="19"/>
      <c r="E28" s="19"/>
      <c r="F28" s="19"/>
      <c r="G28" s="19"/>
      <c r="H28" s="19"/>
      <c r="I28" s="19"/>
      <c r="J28" s="19"/>
      <c r="K28" s="19"/>
      <c r="L28" s="19"/>
      <c r="M28" s="19"/>
      <c r="N28" s="57"/>
      <c r="O28" s="19"/>
      <c r="P28" s="19"/>
      <c r="Q28" s="19"/>
      <c r="R28" s="19"/>
      <c r="S28" s="58"/>
    </row>
    <row r="29" spans="1:34" ht="15.75" hidden="1" customHeight="1" thickBot="1" x14ac:dyDescent="0.3">
      <c r="A29" s="55"/>
      <c r="B29" s="59">
        <f>D21-D13</f>
        <v>-4.6848811447018912E-3</v>
      </c>
      <c r="C29" s="54"/>
      <c r="D29" s="19"/>
      <c r="E29" s="19"/>
      <c r="F29" s="19"/>
      <c r="G29" s="19"/>
      <c r="H29" s="19"/>
      <c r="I29" s="19"/>
      <c r="J29" s="19"/>
      <c r="K29" s="19"/>
      <c r="L29" s="19"/>
      <c r="M29" s="19"/>
      <c r="N29" s="19"/>
      <c r="O29" s="19"/>
      <c r="P29" s="19"/>
      <c r="Q29" s="19"/>
      <c r="R29" s="19"/>
      <c r="S29" s="54"/>
    </row>
    <row r="30" spans="1:34" ht="17.25" hidden="1" customHeight="1" thickBot="1" x14ac:dyDescent="0.35">
      <c r="A30" s="55"/>
      <c r="B30" s="13" t="s">
        <v>58</v>
      </c>
      <c r="C30" s="13" t="s">
        <v>13</v>
      </c>
      <c r="D30" s="60" t="s">
        <v>23</v>
      </c>
      <c r="E30" s="60"/>
      <c r="F30" s="261" t="s">
        <v>3</v>
      </c>
      <c r="G30" s="262"/>
      <c r="H30" s="263"/>
      <c r="I30" s="263"/>
      <c r="J30" s="263"/>
      <c r="K30" s="264" t="s">
        <v>4</v>
      </c>
      <c r="L30" s="265"/>
      <c r="M30" s="265"/>
      <c r="N30" s="265"/>
      <c r="O30" s="265"/>
      <c r="P30" s="266"/>
      <c r="Q30" s="61"/>
      <c r="R30" s="19"/>
      <c r="S30" s="54"/>
    </row>
    <row r="31" spans="1:34" ht="17.25" hidden="1" customHeight="1" thickBot="1" x14ac:dyDescent="0.35">
      <c r="A31" s="55"/>
      <c r="B31" s="62">
        <v>300</v>
      </c>
      <c r="C31" s="62">
        <v>365</v>
      </c>
      <c r="D31" s="60" t="s">
        <v>10</v>
      </c>
      <c r="E31" s="60"/>
      <c r="F31" s="63"/>
      <c r="G31" s="63"/>
      <c r="H31" s="64"/>
      <c r="I31" s="65"/>
      <c r="J31" s="66">
        <f>XIRR(J35:J51,$D$35:$D$51,0.2)</f>
        <v>0.35013418793678286</v>
      </c>
      <c r="K31" s="67"/>
      <c r="L31" s="64"/>
      <c r="M31" s="64"/>
      <c r="N31" s="60" t="s">
        <v>10</v>
      </c>
      <c r="O31" s="68">
        <f>XIRR(O35:O49,D35:D49,0.2)</f>
        <v>0.3354918658733369</v>
      </c>
      <c r="P31" s="69"/>
      <c r="Q31" s="61"/>
      <c r="R31" s="19"/>
      <c r="S31" s="54"/>
      <c r="U31" s="70" t="s">
        <v>22</v>
      </c>
      <c r="V31" s="71">
        <f>+$D$35</f>
        <v>44011</v>
      </c>
      <c r="W31" s="72"/>
      <c r="X31" s="245" t="s">
        <v>53</v>
      </c>
      <c r="Y31" s="246"/>
      <c r="Z31" s="247"/>
      <c r="AA31" s="73"/>
      <c r="AB31" s="70" t="s">
        <v>22</v>
      </c>
      <c r="AC31" s="71">
        <f>+V31</f>
        <v>44011</v>
      </c>
      <c r="AD31" s="72"/>
      <c r="AE31" s="245" t="s">
        <v>54</v>
      </c>
      <c r="AF31" s="246"/>
      <c r="AG31" s="247"/>
      <c r="AH31" s="74"/>
    </row>
    <row r="32" spans="1:34" ht="17.25" hidden="1" customHeight="1" thickBot="1" x14ac:dyDescent="0.3">
      <c r="A32" s="55"/>
      <c r="B32" s="75"/>
      <c r="C32" s="14" t="s">
        <v>14</v>
      </c>
      <c r="D32" s="76">
        <v>44009</v>
      </c>
      <c r="E32" s="77"/>
      <c r="F32" s="78" t="s">
        <v>11</v>
      </c>
      <c r="G32" s="78"/>
      <c r="H32" s="5">
        <f>C33</f>
        <v>0.3</v>
      </c>
      <c r="I32" s="79"/>
      <c r="J32" s="19"/>
      <c r="K32" s="55"/>
      <c r="L32" s="3">
        <f>D19</f>
        <v>0.32750000000000001</v>
      </c>
      <c r="M32" s="19"/>
      <c r="N32" s="78" t="s">
        <v>11</v>
      </c>
      <c r="O32" s="80">
        <f>+((O31+1)^(0.0833333333333333)-1)*12</f>
        <v>0.2928151188552981</v>
      </c>
      <c r="P32" s="81"/>
      <c r="Q32" s="82"/>
      <c r="R32" s="83"/>
      <c r="S32" s="84"/>
      <c r="U32" s="6"/>
      <c r="V32" s="1"/>
      <c r="W32" s="1"/>
      <c r="X32" s="2"/>
      <c r="Y32" s="85"/>
      <c r="Z32" s="86"/>
      <c r="AA32" s="23"/>
      <c r="AB32" s="6"/>
      <c r="AC32" s="1"/>
      <c r="AD32" s="1"/>
      <c r="AE32" s="2"/>
      <c r="AF32" s="85"/>
      <c r="AG32" s="86"/>
      <c r="AH32" s="87"/>
    </row>
    <row r="33" spans="1:34" ht="17.25" hidden="1" customHeight="1" thickBot="1" x14ac:dyDescent="0.3">
      <c r="A33" s="55"/>
      <c r="B33" s="14" t="s">
        <v>24</v>
      </c>
      <c r="C33" s="88">
        <v>0.3</v>
      </c>
      <c r="D33" s="252" t="s">
        <v>0</v>
      </c>
      <c r="E33" s="89"/>
      <c r="F33" s="252" t="s">
        <v>57</v>
      </c>
      <c r="G33" s="252" t="s">
        <v>56</v>
      </c>
      <c r="H33" s="254" t="s">
        <v>6</v>
      </c>
      <c r="I33" s="259" t="s">
        <v>7</v>
      </c>
      <c r="J33" s="267" t="s">
        <v>2</v>
      </c>
      <c r="K33" s="269" t="s">
        <v>9</v>
      </c>
      <c r="L33" s="90" t="s">
        <v>6</v>
      </c>
      <c r="M33" s="91" t="s">
        <v>8</v>
      </c>
      <c r="N33" s="256" t="s">
        <v>1</v>
      </c>
      <c r="O33" s="256" t="s">
        <v>2</v>
      </c>
      <c r="P33" s="306"/>
      <c r="Q33" s="301"/>
      <c r="R33" s="301"/>
      <c r="S33" s="84"/>
      <c r="U33" s="92" t="s">
        <v>16</v>
      </c>
      <c r="V33" s="93">
        <f>+H32</f>
        <v>0.3</v>
      </c>
      <c r="W33" s="94"/>
      <c r="X33" s="94" t="s">
        <v>17</v>
      </c>
      <c r="Y33" s="95">
        <f>+F35</f>
        <v>78000000</v>
      </c>
      <c r="Z33" s="96"/>
      <c r="AA33" s="96"/>
      <c r="AB33" s="92" t="s">
        <v>16</v>
      </c>
      <c r="AC33" s="93">
        <f>+L32</f>
        <v>0.32750000000000001</v>
      </c>
      <c r="AD33" s="94"/>
      <c r="AE33" s="94" t="s">
        <v>17</v>
      </c>
      <c r="AF33" s="95">
        <f>+N35</f>
        <v>78000000</v>
      </c>
      <c r="AG33" s="96"/>
      <c r="AH33" s="97"/>
    </row>
    <row r="34" spans="1:34" ht="15.75" hidden="1" customHeight="1" thickBot="1" x14ac:dyDescent="0.3">
      <c r="A34" s="55"/>
      <c r="B34" s="14" t="s">
        <v>25</v>
      </c>
      <c r="C34" s="88">
        <v>0.4</v>
      </c>
      <c r="D34" s="260"/>
      <c r="E34" s="98"/>
      <c r="F34" s="253"/>
      <c r="G34" s="258"/>
      <c r="H34" s="255"/>
      <c r="I34" s="255"/>
      <c r="J34" s="268"/>
      <c r="K34" s="270"/>
      <c r="L34" s="99"/>
      <c r="M34" s="100"/>
      <c r="N34" s="257"/>
      <c r="O34" s="257"/>
      <c r="P34" s="307"/>
      <c r="Q34" s="299"/>
      <c r="R34" s="300"/>
      <c r="S34" s="84"/>
      <c r="U34" s="101" t="s">
        <v>0</v>
      </c>
      <c r="V34" s="102" t="s">
        <v>18</v>
      </c>
      <c r="W34" s="103"/>
      <c r="X34" s="103" t="s">
        <v>19</v>
      </c>
      <c r="Y34" s="104"/>
      <c r="Z34" s="103"/>
      <c r="AA34" s="103"/>
      <c r="AB34" s="101" t="s">
        <v>0</v>
      </c>
      <c r="AC34" s="102" t="s">
        <v>18</v>
      </c>
      <c r="AD34" s="103"/>
      <c r="AE34" s="103" t="s">
        <v>19</v>
      </c>
      <c r="AF34" s="104"/>
      <c r="AG34" s="103"/>
      <c r="AH34" s="105"/>
    </row>
    <row r="35" spans="1:34" ht="17.25" hidden="1" customHeight="1" thickBot="1" x14ac:dyDescent="0.3">
      <c r="A35" s="55"/>
      <c r="B35" s="106" t="s">
        <v>15</v>
      </c>
      <c r="C35" s="107" t="s">
        <v>26</v>
      </c>
      <c r="D35" s="108">
        <v>44011</v>
      </c>
      <c r="E35" s="109"/>
      <c r="F35" s="110">
        <f>+D9</f>
        <v>78000000</v>
      </c>
      <c r="G35" s="110"/>
      <c r="H35" s="111">
        <v>0</v>
      </c>
      <c r="I35" s="112">
        <v>0</v>
      </c>
      <c r="J35" s="113">
        <f>-F35</f>
        <v>-78000000</v>
      </c>
      <c r="K35" s="114"/>
      <c r="L35" s="115"/>
      <c r="M35" s="116"/>
      <c r="N35" s="117">
        <f>F35</f>
        <v>78000000</v>
      </c>
      <c r="O35" s="117">
        <f>J35*D17</f>
        <v>-79248261.013471454</v>
      </c>
      <c r="P35" s="118">
        <f>-SUM(P36:P51)</f>
        <v>-86563730.696097314</v>
      </c>
      <c r="Q35" s="119"/>
      <c r="R35" s="120"/>
      <c r="S35" s="84"/>
      <c r="U35" s="121"/>
      <c r="V35" s="122"/>
      <c r="W35" s="123"/>
      <c r="X35" s="124"/>
      <c r="Y35" s="125"/>
      <c r="Z35" s="126"/>
      <c r="AA35" s="96"/>
      <c r="AB35" s="121"/>
      <c r="AC35" s="122"/>
      <c r="AD35" s="123"/>
      <c r="AE35" s="124"/>
      <c r="AF35" s="125"/>
      <c r="AG35" s="126"/>
      <c r="AH35" s="97"/>
    </row>
    <row r="36" spans="1:34" ht="17.25" hidden="1" customHeight="1" x14ac:dyDescent="0.25">
      <c r="A36" s="55"/>
      <c r="B36" s="127">
        <f>+(D36-$D$32)</f>
        <v>30</v>
      </c>
      <c r="C36" s="4">
        <f>+B36</f>
        <v>30</v>
      </c>
      <c r="D36" s="7">
        <v>44039</v>
      </c>
      <c r="E36" s="128"/>
      <c r="F36" s="129">
        <f>F35-I36</f>
        <v>70200000</v>
      </c>
      <c r="G36" s="15"/>
      <c r="H36" s="129">
        <f>ROUND((F35*B36*$H$32/$C$31),0)</f>
        <v>1923288</v>
      </c>
      <c r="I36" s="130">
        <v>7800000</v>
      </c>
      <c r="J36" s="131">
        <f>H36+I36</f>
        <v>9723288</v>
      </c>
      <c r="K36" s="113">
        <f>J36</f>
        <v>9723288</v>
      </c>
      <c r="L36" s="132">
        <f>N35*B36*L32/$C$31</f>
        <v>2099589.0410958906</v>
      </c>
      <c r="M36" s="117">
        <f>+I36</f>
        <v>7800000</v>
      </c>
      <c r="N36" s="117">
        <f>IF((N35-M36)&lt;0,0,(N35-M36))</f>
        <v>70200000</v>
      </c>
      <c r="O36" s="117">
        <f t="shared" ref="O36:O50" si="8">L36+M36</f>
        <v>9899589.0410958901</v>
      </c>
      <c r="P36" s="133">
        <f t="shared" ref="P36:P50" si="9">J36/(1+$D$20)^(B36/365)</f>
        <v>9494814.2238925565</v>
      </c>
      <c r="Q36" s="119"/>
      <c r="R36" s="120"/>
      <c r="S36" s="84"/>
      <c r="U36" s="121">
        <f>+D36</f>
        <v>44039</v>
      </c>
      <c r="V36" s="122">
        <f t="shared" ref="V36:V50" si="10">+J36</f>
        <v>9723288</v>
      </c>
      <c r="W36" s="123">
        <f t="shared" ref="W36:W45" si="11">+(U36-$V$31)/360</f>
        <v>7.7777777777777779E-2</v>
      </c>
      <c r="X36" s="124">
        <f>+V36/$V$51*W36</f>
        <v>8.5290875186503183E-3</v>
      </c>
      <c r="Y36" s="125">
        <f t="shared" ref="Y36:Y50" si="12">+V36/(1+$H$32)^W36</f>
        <v>9526884.2542564794</v>
      </c>
      <c r="Z36" s="126">
        <f>+Y36/$Y$51*W36</f>
        <v>9.3644484902919364E-3</v>
      </c>
      <c r="AA36" s="96"/>
      <c r="AB36" s="121">
        <f>+U36</f>
        <v>44039</v>
      </c>
      <c r="AC36" s="122">
        <f>+O36</f>
        <v>9899589.0410958901</v>
      </c>
      <c r="AD36" s="123">
        <f t="shared" ref="AD36:AD45" si="13">+(AB36-$V$31)/360</f>
        <v>7.7777777777777779E-2</v>
      </c>
      <c r="AE36" s="124">
        <f>+AC36/$AC$51*AD36</f>
        <v>8.5890105163232925E-3</v>
      </c>
      <c r="AF36" s="125">
        <f t="shared" ref="AF36:AF50" si="14">+AC36/(1+$L$32)^AD36</f>
        <v>9683844.6525953915</v>
      </c>
      <c r="AG36" s="126">
        <f>+AF36/$AF$51*AD36</f>
        <v>9.4959467503108828E-3</v>
      </c>
      <c r="AH36" s="97"/>
    </row>
    <row r="37" spans="1:34" ht="16.5" hidden="1" customHeight="1" x14ac:dyDescent="0.25">
      <c r="A37" s="55"/>
      <c r="B37" s="127">
        <f>+(D37-D36)</f>
        <v>29</v>
      </c>
      <c r="C37" s="4">
        <f t="shared" ref="C37:C49" si="15">+B37</f>
        <v>29</v>
      </c>
      <c r="D37" s="7">
        <v>44068</v>
      </c>
      <c r="E37" s="134"/>
      <c r="F37" s="129">
        <f>F36-I37</f>
        <v>62400000</v>
      </c>
      <c r="G37" s="15"/>
      <c r="H37" s="129">
        <f t="shared" ref="H37:H45" si="16">ROUND((F36*B37*$H$32/$C$31),0)</f>
        <v>1673260</v>
      </c>
      <c r="I37" s="135">
        <v>7800000</v>
      </c>
      <c r="J37" s="117">
        <f>H37+I37</f>
        <v>9473260</v>
      </c>
      <c r="K37" s="113">
        <f t="shared" ref="K37:K50" si="17">J37</f>
        <v>9473260</v>
      </c>
      <c r="L37" s="132">
        <f t="shared" ref="L37:L45" si="18">N36*B37*$L$32/$C$31</f>
        <v>1826642.4657534247</v>
      </c>
      <c r="M37" s="117">
        <f t="shared" ref="M37:M45" si="19">+I37</f>
        <v>7800000</v>
      </c>
      <c r="N37" s="117">
        <f t="shared" ref="N37:N45" si="20">IF((N36-M37)&lt;0,0,(N36-M37))</f>
        <v>62400000</v>
      </c>
      <c r="O37" s="117">
        <f t="shared" si="8"/>
        <v>9626642.4657534249</v>
      </c>
      <c r="P37" s="133">
        <f t="shared" si="9"/>
        <v>9257996.2752243113</v>
      </c>
      <c r="Q37" s="119"/>
      <c r="R37" s="120"/>
      <c r="S37" s="84"/>
      <c r="U37" s="121">
        <f t="shared" ref="U37:U50" si="21">+D37</f>
        <v>44068</v>
      </c>
      <c r="V37" s="122">
        <f t="shared" si="10"/>
        <v>9473260</v>
      </c>
      <c r="W37" s="123">
        <f t="shared" si="11"/>
        <v>0.15833333333333333</v>
      </c>
      <c r="X37" s="124">
        <f t="shared" ref="X37:X50" si="22">+V37/$V$51*W37</f>
        <v>1.6916312622463608E-2</v>
      </c>
      <c r="Y37" s="125">
        <f t="shared" si="12"/>
        <v>9087792.9997464027</v>
      </c>
      <c r="Z37" s="126">
        <f t="shared" ref="Z37:Z50" si="23">+Y37/$Y$51*W37</f>
        <v>1.818471784097531E-2</v>
      </c>
      <c r="AA37" s="96"/>
      <c r="AB37" s="121">
        <f t="shared" ref="AB37:AB50" si="24">+U37</f>
        <v>44068</v>
      </c>
      <c r="AC37" s="122">
        <f t="shared" ref="AC37:AC50" si="25">+O37</f>
        <v>9626642.4657534249</v>
      </c>
      <c r="AD37" s="123">
        <f t="shared" si="13"/>
        <v>0.15833333333333333</v>
      </c>
      <c r="AE37" s="124">
        <f t="shared" ref="AE37:AE50" si="26">+AC37/$AC$51*AD37</f>
        <v>1.7002689934270329E-2</v>
      </c>
      <c r="AF37" s="125">
        <f t="shared" si="14"/>
        <v>9204376.504963683</v>
      </c>
      <c r="AG37" s="126">
        <f t="shared" ref="AG37:AG50" si="27">+AF37/$AF$51*AD37</f>
        <v>1.8373913021794534E-2</v>
      </c>
      <c r="AH37" s="97"/>
    </row>
    <row r="38" spans="1:34" ht="17.25" hidden="1" customHeight="1" x14ac:dyDescent="0.25">
      <c r="A38" s="55"/>
      <c r="B38" s="127">
        <f t="shared" ref="B38:B49" si="28">+(D38-D37)</f>
        <v>31</v>
      </c>
      <c r="C38" s="4">
        <f t="shared" si="15"/>
        <v>31</v>
      </c>
      <c r="D38" s="7">
        <v>44099</v>
      </c>
      <c r="E38" s="134"/>
      <c r="F38" s="129">
        <f t="shared" ref="F38:F48" si="29">F37-I38</f>
        <v>54600000</v>
      </c>
      <c r="G38" s="15"/>
      <c r="H38" s="129">
        <f t="shared" si="16"/>
        <v>1589918</v>
      </c>
      <c r="I38" s="135">
        <v>7800000</v>
      </c>
      <c r="J38" s="117">
        <f t="shared" ref="J38:J45" si="30">H38+I38</f>
        <v>9389918</v>
      </c>
      <c r="K38" s="113">
        <f t="shared" si="17"/>
        <v>9389918</v>
      </c>
      <c r="L38" s="132">
        <f t="shared" si="18"/>
        <v>1735660.2739726028</v>
      </c>
      <c r="M38" s="117">
        <f t="shared" si="19"/>
        <v>7800000</v>
      </c>
      <c r="N38" s="117">
        <f t="shared" si="20"/>
        <v>54600000</v>
      </c>
      <c r="O38" s="117">
        <f t="shared" si="8"/>
        <v>9535660.2739726026</v>
      </c>
      <c r="P38" s="133">
        <f t="shared" si="9"/>
        <v>9162012.906757988</v>
      </c>
      <c r="Q38" s="119"/>
      <c r="R38" s="120"/>
      <c r="S38" s="84"/>
      <c r="U38" s="121">
        <f t="shared" si="21"/>
        <v>44099</v>
      </c>
      <c r="V38" s="122">
        <f t="shared" si="10"/>
        <v>9389918</v>
      </c>
      <c r="W38" s="123">
        <f t="shared" si="11"/>
        <v>0.24444444444444444</v>
      </c>
      <c r="X38" s="124">
        <f t="shared" si="22"/>
        <v>2.5886650587580471E-2</v>
      </c>
      <c r="Y38" s="125">
        <f t="shared" si="12"/>
        <v>8806614.3833308499</v>
      </c>
      <c r="Z38" s="126">
        <f t="shared" si="23"/>
        <v>2.720601526080314E-2</v>
      </c>
      <c r="AA38" s="96"/>
      <c r="AB38" s="121">
        <f t="shared" si="24"/>
        <v>44099</v>
      </c>
      <c r="AC38" s="122">
        <f t="shared" si="25"/>
        <v>9535660.2739726026</v>
      </c>
      <c r="AD38" s="123">
        <f t="shared" si="13"/>
        <v>0.24444444444444444</v>
      </c>
      <c r="AE38" s="124">
        <f t="shared" si="26"/>
        <v>2.6001678204321376E-2</v>
      </c>
      <c r="AF38" s="125">
        <f t="shared" si="14"/>
        <v>8897657.0598508324</v>
      </c>
      <c r="AG38" s="126">
        <f t="shared" si="27"/>
        <v>2.7421471751997942E-2</v>
      </c>
      <c r="AH38" s="97"/>
    </row>
    <row r="39" spans="1:34" ht="17.25" hidden="1" customHeight="1" x14ac:dyDescent="0.25">
      <c r="A39" s="55"/>
      <c r="B39" s="127">
        <f t="shared" si="28"/>
        <v>31</v>
      </c>
      <c r="C39" s="4">
        <f t="shared" si="15"/>
        <v>31</v>
      </c>
      <c r="D39" s="7">
        <v>44130</v>
      </c>
      <c r="E39" s="134"/>
      <c r="F39" s="129">
        <f t="shared" si="29"/>
        <v>46800000</v>
      </c>
      <c r="G39" s="15"/>
      <c r="H39" s="129">
        <f t="shared" si="16"/>
        <v>1391178</v>
      </c>
      <c r="I39" s="135">
        <v>7800000</v>
      </c>
      <c r="J39" s="117">
        <f t="shared" si="30"/>
        <v>9191178</v>
      </c>
      <c r="K39" s="113">
        <f t="shared" si="17"/>
        <v>9191178</v>
      </c>
      <c r="L39" s="132">
        <f t="shared" si="18"/>
        <v>1518702.7397260275</v>
      </c>
      <c r="M39" s="117">
        <f t="shared" si="19"/>
        <v>7800000</v>
      </c>
      <c r="N39" s="117">
        <f t="shared" si="20"/>
        <v>46800000</v>
      </c>
      <c r="O39" s="117">
        <f t="shared" si="8"/>
        <v>9318702.7397260275</v>
      </c>
      <c r="P39" s="133">
        <f t="shared" si="9"/>
        <v>8968096.5759562626</v>
      </c>
      <c r="Q39" s="119"/>
      <c r="R39" s="120"/>
      <c r="S39" s="84"/>
      <c r="U39" s="121">
        <f t="shared" si="21"/>
        <v>44130</v>
      </c>
      <c r="V39" s="122">
        <f t="shared" si="10"/>
        <v>9191178</v>
      </c>
      <c r="W39" s="123">
        <f t="shared" si="11"/>
        <v>0.33055555555555555</v>
      </c>
      <c r="X39" s="124">
        <f t="shared" si="22"/>
        <v>3.4264904694414781E-2</v>
      </c>
      <c r="Y39" s="125">
        <f t="shared" si="12"/>
        <v>8427651.5078827385</v>
      </c>
      <c r="Z39" s="126">
        <f t="shared" si="23"/>
        <v>3.520682123527049E-2</v>
      </c>
      <c r="AA39" s="96"/>
      <c r="AB39" s="121">
        <f t="shared" si="24"/>
        <v>44130</v>
      </c>
      <c r="AC39" s="122">
        <f t="shared" si="25"/>
        <v>9318702.7397260275</v>
      </c>
      <c r="AD39" s="123">
        <f t="shared" si="13"/>
        <v>0.33055555555555555</v>
      </c>
      <c r="AE39" s="124">
        <f t="shared" si="26"/>
        <v>3.4361360947952356E-2</v>
      </c>
      <c r="AF39" s="125">
        <f t="shared" si="14"/>
        <v>8485661.6466997545</v>
      </c>
      <c r="AG39" s="126">
        <f t="shared" si="27"/>
        <v>3.5364302570222945E-2</v>
      </c>
      <c r="AH39" s="97"/>
    </row>
    <row r="40" spans="1:34" ht="15.75" hidden="1" customHeight="1" x14ac:dyDescent="0.25">
      <c r="A40" s="55"/>
      <c r="B40" s="127">
        <f t="shared" si="28"/>
        <v>30</v>
      </c>
      <c r="C40" s="4">
        <f t="shared" si="15"/>
        <v>30</v>
      </c>
      <c r="D40" s="7">
        <v>44160</v>
      </c>
      <c r="E40" s="134"/>
      <c r="F40" s="129">
        <f t="shared" si="29"/>
        <v>39000000</v>
      </c>
      <c r="G40" s="15"/>
      <c r="H40" s="129">
        <f t="shared" si="16"/>
        <v>1153973</v>
      </c>
      <c r="I40" s="135">
        <v>7800000</v>
      </c>
      <c r="J40" s="117">
        <f t="shared" si="30"/>
        <v>8953973</v>
      </c>
      <c r="K40" s="113">
        <f t="shared" si="17"/>
        <v>8953973</v>
      </c>
      <c r="L40" s="132">
        <f t="shared" si="18"/>
        <v>1259753.4246575343</v>
      </c>
      <c r="M40" s="117">
        <f t="shared" si="19"/>
        <v>7800000</v>
      </c>
      <c r="N40" s="117">
        <f t="shared" si="20"/>
        <v>39000000</v>
      </c>
      <c r="O40" s="117">
        <f t="shared" si="8"/>
        <v>9059753.4246575348</v>
      </c>
      <c r="P40" s="133">
        <f t="shared" si="9"/>
        <v>8743576.2676935941</v>
      </c>
      <c r="Q40" s="119"/>
      <c r="R40" s="120"/>
      <c r="S40" s="84"/>
      <c r="U40" s="121">
        <f t="shared" si="21"/>
        <v>44160</v>
      </c>
      <c r="V40" s="122">
        <f t="shared" si="10"/>
        <v>8953973</v>
      </c>
      <c r="W40" s="123">
        <f t="shared" si="11"/>
        <v>0.41388888888888886</v>
      </c>
      <c r="X40" s="124">
        <f t="shared" si="22"/>
        <v>4.1795876648112976E-2</v>
      </c>
      <c r="Y40" s="125">
        <f t="shared" si="12"/>
        <v>8032595.414534756</v>
      </c>
      <c r="Z40" s="126">
        <f t="shared" si="23"/>
        <v>4.2016071779053608E-2</v>
      </c>
      <c r="AA40" s="96"/>
      <c r="AB40" s="121">
        <f t="shared" si="24"/>
        <v>44160</v>
      </c>
      <c r="AC40" s="122">
        <f t="shared" si="25"/>
        <v>9059753.4246575348</v>
      </c>
      <c r="AD40" s="123">
        <f t="shared" si="13"/>
        <v>0.41388888888888886</v>
      </c>
      <c r="AE40" s="124">
        <f t="shared" si="26"/>
        <v>4.1828335537035979E-2</v>
      </c>
      <c r="AF40" s="125">
        <f t="shared" si="14"/>
        <v>8057378.2711205222</v>
      </c>
      <c r="AG40" s="126">
        <f t="shared" si="27"/>
        <v>4.2044815084979682E-2</v>
      </c>
      <c r="AH40" s="97"/>
    </row>
    <row r="41" spans="1:34" ht="17.25" hidden="1" customHeight="1" x14ac:dyDescent="0.25">
      <c r="A41" s="55"/>
      <c r="B41" s="127">
        <f t="shared" si="28"/>
        <v>33</v>
      </c>
      <c r="C41" s="4">
        <f t="shared" si="15"/>
        <v>33</v>
      </c>
      <c r="D41" s="7">
        <v>44193</v>
      </c>
      <c r="E41" s="134"/>
      <c r="F41" s="129">
        <f t="shared" si="29"/>
        <v>31200000</v>
      </c>
      <c r="G41" s="15"/>
      <c r="H41" s="129">
        <f t="shared" si="16"/>
        <v>1057808</v>
      </c>
      <c r="I41" s="135">
        <v>7800000</v>
      </c>
      <c r="J41" s="117">
        <f t="shared" si="30"/>
        <v>8857808</v>
      </c>
      <c r="K41" s="113">
        <f t="shared" si="17"/>
        <v>8857808</v>
      </c>
      <c r="L41" s="132">
        <f t="shared" si="18"/>
        <v>1154773.9726027397</v>
      </c>
      <c r="M41" s="117">
        <f t="shared" si="19"/>
        <v>7800000</v>
      </c>
      <c r="N41" s="117">
        <f t="shared" si="20"/>
        <v>31200000</v>
      </c>
      <c r="O41" s="117">
        <f t="shared" si="8"/>
        <v>8954773.9726027399</v>
      </c>
      <c r="P41" s="133">
        <f t="shared" si="9"/>
        <v>8629128.1113056187</v>
      </c>
      <c r="Q41" s="119"/>
      <c r="R41" s="120"/>
      <c r="S41" s="84"/>
      <c r="U41" s="121">
        <f t="shared" si="21"/>
        <v>44193</v>
      </c>
      <c r="V41" s="122">
        <f t="shared" si="10"/>
        <v>8857808</v>
      </c>
      <c r="W41" s="123">
        <f t="shared" si="11"/>
        <v>0.50555555555555554</v>
      </c>
      <c r="X41" s="124">
        <f t="shared" si="22"/>
        <v>5.0504379563796324E-2</v>
      </c>
      <c r="Y41" s="125">
        <f t="shared" si="12"/>
        <v>7757496.1299639167</v>
      </c>
      <c r="Z41" s="126">
        <f t="shared" si="23"/>
        <v>4.9563987700017645E-2</v>
      </c>
      <c r="AA41" s="96"/>
      <c r="AB41" s="121">
        <f t="shared" si="24"/>
        <v>44193</v>
      </c>
      <c r="AC41" s="122">
        <f t="shared" si="25"/>
        <v>8954773.9726027399</v>
      </c>
      <c r="AD41" s="123">
        <f t="shared" si="13"/>
        <v>0.50555555555555554</v>
      </c>
      <c r="AE41" s="124">
        <f t="shared" si="26"/>
        <v>5.0500299433394152E-2</v>
      </c>
      <c r="AF41" s="125">
        <f t="shared" si="14"/>
        <v>7759859.1473353663</v>
      </c>
      <c r="AG41" s="126">
        <f t="shared" si="27"/>
        <v>4.9460403107168004E-2</v>
      </c>
      <c r="AH41" s="97"/>
    </row>
    <row r="42" spans="1:34" ht="17.25" hidden="1" customHeight="1" x14ac:dyDescent="0.25">
      <c r="A42" s="55"/>
      <c r="B42" s="127">
        <f t="shared" si="28"/>
        <v>28</v>
      </c>
      <c r="C42" s="4">
        <f t="shared" si="15"/>
        <v>28</v>
      </c>
      <c r="D42" s="7">
        <v>44221</v>
      </c>
      <c r="E42" s="134"/>
      <c r="F42" s="129">
        <f t="shared" si="29"/>
        <v>23400000</v>
      </c>
      <c r="G42" s="15"/>
      <c r="H42" s="129">
        <f t="shared" si="16"/>
        <v>718027</v>
      </c>
      <c r="I42" s="135">
        <v>7800000</v>
      </c>
      <c r="J42" s="117">
        <f t="shared" si="30"/>
        <v>8518027</v>
      </c>
      <c r="K42" s="113">
        <f t="shared" si="17"/>
        <v>8518027</v>
      </c>
      <c r="L42" s="132">
        <f t="shared" si="18"/>
        <v>783846.57534246577</v>
      </c>
      <c r="M42" s="117">
        <f t="shared" si="19"/>
        <v>7800000</v>
      </c>
      <c r="N42" s="117">
        <f t="shared" si="20"/>
        <v>23400000</v>
      </c>
      <c r="O42" s="117">
        <f t="shared" si="8"/>
        <v>8583846.5753424652</v>
      </c>
      <c r="P42" s="133">
        <f t="shared" si="9"/>
        <v>8331069.9258128805</v>
      </c>
      <c r="Q42" s="119"/>
      <c r="R42" s="120"/>
      <c r="S42" s="84"/>
      <c r="U42" s="121">
        <f t="shared" si="21"/>
        <v>44221</v>
      </c>
      <c r="V42" s="122">
        <f t="shared" si="10"/>
        <v>8518027</v>
      </c>
      <c r="W42" s="123">
        <f t="shared" si="11"/>
        <v>0.58333333333333337</v>
      </c>
      <c r="X42" s="124">
        <f t="shared" si="22"/>
        <v>5.6038912276299764E-2</v>
      </c>
      <c r="Y42" s="125">
        <f t="shared" si="12"/>
        <v>7309237.2161034197</v>
      </c>
      <c r="Z42" s="126">
        <f t="shared" si="23"/>
        <v>5.3884596674099533E-2</v>
      </c>
      <c r="AA42" s="96"/>
      <c r="AB42" s="121">
        <f t="shared" si="24"/>
        <v>44221</v>
      </c>
      <c r="AC42" s="122">
        <f t="shared" si="25"/>
        <v>8583846.5753424652</v>
      </c>
      <c r="AD42" s="123">
        <f t="shared" si="13"/>
        <v>0.58333333333333337</v>
      </c>
      <c r="AE42" s="124">
        <f t="shared" si="26"/>
        <v>5.585591598807458E-2</v>
      </c>
      <c r="AF42" s="125">
        <f t="shared" si="14"/>
        <v>7276320.233063071</v>
      </c>
      <c r="AG42" s="126">
        <f t="shared" si="27"/>
        <v>5.3513520675534158E-2</v>
      </c>
      <c r="AH42" s="97"/>
    </row>
    <row r="43" spans="1:34" ht="17.25" hidden="1" customHeight="1" x14ac:dyDescent="0.25">
      <c r="A43" s="55"/>
      <c r="B43" s="127">
        <f t="shared" si="28"/>
        <v>31</v>
      </c>
      <c r="C43" s="4">
        <f t="shared" si="15"/>
        <v>31</v>
      </c>
      <c r="D43" s="7">
        <v>44252</v>
      </c>
      <c r="E43" s="134"/>
      <c r="F43" s="129">
        <f t="shared" si="29"/>
        <v>15600000</v>
      </c>
      <c r="G43" s="15"/>
      <c r="H43" s="129">
        <f t="shared" si="16"/>
        <v>596219</v>
      </c>
      <c r="I43" s="135">
        <v>7800000</v>
      </c>
      <c r="J43" s="117">
        <f t="shared" si="30"/>
        <v>8396219</v>
      </c>
      <c r="K43" s="113">
        <f t="shared" si="17"/>
        <v>8396219</v>
      </c>
      <c r="L43" s="132">
        <f t="shared" si="18"/>
        <v>650872.60273972608</v>
      </c>
      <c r="M43" s="117">
        <f t="shared" si="19"/>
        <v>7800000</v>
      </c>
      <c r="N43" s="117">
        <f t="shared" si="20"/>
        <v>15600000</v>
      </c>
      <c r="O43" s="117">
        <f t="shared" si="8"/>
        <v>8450872.6027397253</v>
      </c>
      <c r="P43" s="133">
        <f t="shared" si="9"/>
        <v>8192432.228478102</v>
      </c>
      <c r="Q43" s="119"/>
      <c r="R43" s="120"/>
      <c r="S43" s="84"/>
      <c r="U43" s="121">
        <f t="shared" si="21"/>
        <v>44252</v>
      </c>
      <c r="V43" s="122">
        <f t="shared" si="10"/>
        <v>8396219</v>
      </c>
      <c r="W43" s="123">
        <f t="shared" si="11"/>
        <v>0.6694444444444444</v>
      </c>
      <c r="X43" s="124">
        <f t="shared" si="22"/>
        <v>6.339166960033725E-2</v>
      </c>
      <c r="Y43" s="125">
        <f t="shared" si="12"/>
        <v>7043767.5205976199</v>
      </c>
      <c r="Z43" s="126">
        <f t="shared" si="23"/>
        <v>5.9593012647477468E-2</v>
      </c>
      <c r="AA43" s="96"/>
      <c r="AB43" s="121">
        <f t="shared" si="24"/>
        <v>44252</v>
      </c>
      <c r="AC43" s="122">
        <f t="shared" si="25"/>
        <v>8450872.6027397253</v>
      </c>
      <c r="AD43" s="123">
        <f t="shared" si="13"/>
        <v>0.6694444444444444</v>
      </c>
      <c r="AE43" s="124">
        <f t="shared" si="26"/>
        <v>6.3108307680857234E-2</v>
      </c>
      <c r="AF43" s="125">
        <f t="shared" si="14"/>
        <v>6990959.2769836457</v>
      </c>
      <c r="AG43" s="126">
        <f t="shared" si="27"/>
        <v>5.9004650225136845E-2</v>
      </c>
      <c r="AH43" s="97"/>
    </row>
    <row r="44" spans="1:34" ht="17.25" hidden="1" customHeight="1" x14ac:dyDescent="0.25">
      <c r="A44" s="55"/>
      <c r="B44" s="127">
        <f t="shared" si="28"/>
        <v>28</v>
      </c>
      <c r="C44" s="4">
        <f t="shared" si="15"/>
        <v>28</v>
      </c>
      <c r="D44" s="7">
        <v>44280</v>
      </c>
      <c r="E44" s="134"/>
      <c r="F44" s="129">
        <f t="shared" si="29"/>
        <v>7800000</v>
      </c>
      <c r="G44" s="15"/>
      <c r="H44" s="129">
        <f t="shared" si="16"/>
        <v>359014</v>
      </c>
      <c r="I44" s="135">
        <v>7800000</v>
      </c>
      <c r="J44" s="117">
        <f t="shared" si="30"/>
        <v>8159014</v>
      </c>
      <c r="K44" s="113">
        <f t="shared" si="17"/>
        <v>8159014</v>
      </c>
      <c r="L44" s="132">
        <f t="shared" si="18"/>
        <v>391923.28767123289</v>
      </c>
      <c r="M44" s="117">
        <f t="shared" si="19"/>
        <v>7800000</v>
      </c>
      <c r="N44" s="117">
        <f t="shared" si="20"/>
        <v>7800000</v>
      </c>
      <c r="O44" s="117">
        <f t="shared" si="8"/>
        <v>8191923.2876712326</v>
      </c>
      <c r="P44" s="133">
        <f t="shared" si="9"/>
        <v>7979936.687179585</v>
      </c>
      <c r="Q44" s="119"/>
      <c r="R44" s="120"/>
      <c r="S44" s="84"/>
      <c r="U44" s="121">
        <f t="shared" si="21"/>
        <v>44280</v>
      </c>
      <c r="V44" s="122">
        <f t="shared" si="10"/>
        <v>8159014</v>
      </c>
      <c r="W44" s="123">
        <f t="shared" si="11"/>
        <v>0.74722222222222223</v>
      </c>
      <c r="X44" s="124">
        <f t="shared" si="22"/>
        <v>6.8757701182898187E-2</v>
      </c>
      <c r="Y44" s="125">
        <f t="shared" si="12"/>
        <v>6706511.4966586074</v>
      </c>
      <c r="Z44" s="126">
        <f t="shared" si="23"/>
        <v>6.3331859316194616E-2</v>
      </c>
      <c r="AA44" s="96"/>
      <c r="AB44" s="121">
        <f t="shared" si="24"/>
        <v>44280</v>
      </c>
      <c r="AC44" s="122">
        <f t="shared" si="25"/>
        <v>8191923.2876712326</v>
      </c>
      <c r="AD44" s="123">
        <f t="shared" si="13"/>
        <v>0.74722222222222223</v>
      </c>
      <c r="AE44" s="124">
        <f t="shared" si="26"/>
        <v>6.8281978056207129E-2</v>
      </c>
      <c r="AF44" s="125">
        <f t="shared" si="14"/>
        <v>6629056.8275037752</v>
      </c>
      <c r="AG44" s="126">
        <f t="shared" si="27"/>
        <v>6.2450575857095396E-2</v>
      </c>
      <c r="AH44" s="97"/>
    </row>
    <row r="45" spans="1:34" ht="17.25" hidden="1" customHeight="1" x14ac:dyDescent="0.25">
      <c r="A45" s="55"/>
      <c r="B45" s="127">
        <f t="shared" si="28"/>
        <v>32</v>
      </c>
      <c r="C45" s="4">
        <f t="shared" si="15"/>
        <v>32</v>
      </c>
      <c r="D45" s="7">
        <v>44312</v>
      </c>
      <c r="E45" s="134"/>
      <c r="F45" s="129">
        <f t="shared" si="29"/>
        <v>0</v>
      </c>
      <c r="G45" s="15"/>
      <c r="H45" s="129">
        <f t="shared" si="16"/>
        <v>205151</v>
      </c>
      <c r="I45" s="135">
        <v>7800000</v>
      </c>
      <c r="J45" s="117">
        <f t="shared" si="30"/>
        <v>8005151</v>
      </c>
      <c r="K45" s="113">
        <f t="shared" si="17"/>
        <v>8005151</v>
      </c>
      <c r="L45" s="132">
        <f t="shared" si="18"/>
        <v>223956.16438356164</v>
      </c>
      <c r="M45" s="117">
        <f t="shared" si="19"/>
        <v>7800000</v>
      </c>
      <c r="N45" s="117">
        <f t="shared" si="20"/>
        <v>0</v>
      </c>
      <c r="O45" s="117">
        <f t="shared" si="8"/>
        <v>8023956.1643835614</v>
      </c>
      <c r="P45" s="133">
        <f t="shared" si="9"/>
        <v>7804667.4937964259</v>
      </c>
      <c r="Q45" s="136"/>
      <c r="R45" s="120"/>
      <c r="S45" s="54"/>
      <c r="U45" s="121">
        <f t="shared" si="21"/>
        <v>44312</v>
      </c>
      <c r="V45" s="122">
        <f t="shared" si="10"/>
        <v>8005151</v>
      </c>
      <c r="W45" s="123">
        <f t="shared" si="11"/>
        <v>0.83611111111111114</v>
      </c>
      <c r="X45" s="124">
        <f t="shared" si="22"/>
        <v>7.5486174008151302E-2</v>
      </c>
      <c r="Y45" s="125">
        <f t="shared" si="12"/>
        <v>6428360.5240157181</v>
      </c>
      <c r="Z45" s="126">
        <f t="shared" si="23"/>
        <v>6.7926620185997641E-2</v>
      </c>
      <c r="AA45" s="96"/>
      <c r="AB45" s="121">
        <f t="shared" si="24"/>
        <v>44312</v>
      </c>
      <c r="AC45" s="122">
        <f t="shared" si="25"/>
        <v>8023956.1643835614</v>
      </c>
      <c r="AD45" s="123">
        <f t="shared" si="13"/>
        <v>0.83611111111111114</v>
      </c>
      <c r="AE45" s="124">
        <f t="shared" si="26"/>
        <v>7.4838139100253637E-2</v>
      </c>
      <c r="AF45" s="125">
        <f t="shared" si="14"/>
        <v>6331666.1837963881</v>
      </c>
      <c r="AG45" s="126">
        <f t="shared" si="27"/>
        <v>6.6744722380389837E-2</v>
      </c>
      <c r="AH45" s="97"/>
    </row>
    <row r="46" spans="1:34" ht="17.25" hidden="1" customHeight="1" x14ac:dyDescent="0.25">
      <c r="A46" s="55"/>
      <c r="B46" s="127">
        <v>0</v>
      </c>
      <c r="C46" s="4">
        <f t="shared" si="15"/>
        <v>0</v>
      </c>
      <c r="D46" s="7"/>
      <c r="E46" s="134"/>
      <c r="F46" s="129">
        <f t="shared" si="29"/>
        <v>0</v>
      </c>
      <c r="G46" s="15"/>
      <c r="H46" s="137"/>
      <c r="I46" s="135"/>
      <c r="J46" s="117"/>
      <c r="K46" s="113"/>
      <c r="L46" s="132"/>
      <c r="M46" s="117"/>
      <c r="N46" s="117"/>
      <c r="O46" s="117"/>
      <c r="P46" s="133"/>
      <c r="Q46" s="136"/>
      <c r="R46" s="138"/>
      <c r="S46" s="54"/>
      <c r="U46" s="121">
        <f t="shared" si="21"/>
        <v>0</v>
      </c>
      <c r="V46" s="122">
        <f t="shared" si="10"/>
        <v>0</v>
      </c>
      <c r="W46" s="123">
        <f t="shared" ref="W46:W50" si="31">+(U46-$V$31)/365</f>
        <v>-120.57808219178082</v>
      </c>
      <c r="X46" s="124">
        <f t="shared" si="22"/>
        <v>0</v>
      </c>
      <c r="Y46" s="125">
        <f t="shared" si="12"/>
        <v>0</v>
      </c>
      <c r="Z46" s="126">
        <f t="shared" si="23"/>
        <v>0</v>
      </c>
      <c r="AA46" s="96"/>
      <c r="AB46" s="121">
        <f t="shared" si="24"/>
        <v>0</v>
      </c>
      <c r="AC46" s="122">
        <f t="shared" si="25"/>
        <v>0</v>
      </c>
      <c r="AD46" s="123">
        <f t="shared" ref="AD46:AD50" si="32">+(AB46-$V$31)/365</f>
        <v>-120.57808219178082</v>
      </c>
      <c r="AE46" s="124">
        <f t="shared" si="26"/>
        <v>0</v>
      </c>
      <c r="AF46" s="125">
        <f t="shared" si="14"/>
        <v>0</v>
      </c>
      <c r="AG46" s="126">
        <f t="shared" si="27"/>
        <v>0</v>
      </c>
      <c r="AH46" s="97"/>
    </row>
    <row r="47" spans="1:34" ht="17.25" hidden="1" customHeight="1" x14ac:dyDescent="0.3">
      <c r="A47" s="55"/>
      <c r="B47" s="127">
        <v>0</v>
      </c>
      <c r="C47" s="4">
        <f t="shared" si="15"/>
        <v>0</v>
      </c>
      <c r="D47" s="7"/>
      <c r="E47" s="134"/>
      <c r="F47" s="129">
        <f t="shared" si="29"/>
        <v>0</v>
      </c>
      <c r="G47" s="15"/>
      <c r="H47" s="137"/>
      <c r="I47" s="135"/>
      <c r="J47" s="117"/>
      <c r="K47" s="113"/>
      <c r="L47" s="132"/>
      <c r="M47" s="117"/>
      <c r="N47" s="117"/>
      <c r="O47" s="117"/>
      <c r="P47" s="133"/>
      <c r="Q47" s="139"/>
      <c r="R47" s="140"/>
      <c r="S47" s="54"/>
      <c r="U47" s="121">
        <f t="shared" si="21"/>
        <v>0</v>
      </c>
      <c r="V47" s="122">
        <f t="shared" si="10"/>
        <v>0</v>
      </c>
      <c r="W47" s="123">
        <f t="shared" si="31"/>
        <v>-120.57808219178082</v>
      </c>
      <c r="X47" s="124">
        <f t="shared" si="22"/>
        <v>0</v>
      </c>
      <c r="Y47" s="125">
        <f t="shared" si="12"/>
        <v>0</v>
      </c>
      <c r="Z47" s="126">
        <f t="shared" si="23"/>
        <v>0</v>
      </c>
      <c r="AA47" s="96"/>
      <c r="AB47" s="121">
        <f t="shared" si="24"/>
        <v>0</v>
      </c>
      <c r="AC47" s="122">
        <f t="shared" si="25"/>
        <v>0</v>
      </c>
      <c r="AD47" s="123">
        <f t="shared" si="32"/>
        <v>-120.57808219178082</v>
      </c>
      <c r="AE47" s="124">
        <f t="shared" si="26"/>
        <v>0</v>
      </c>
      <c r="AF47" s="125">
        <f t="shared" si="14"/>
        <v>0</v>
      </c>
      <c r="AG47" s="126">
        <f t="shared" si="27"/>
        <v>0</v>
      </c>
      <c r="AH47" s="97"/>
    </row>
    <row r="48" spans="1:34" ht="17.25" hidden="1" customHeight="1" x14ac:dyDescent="0.3">
      <c r="A48" s="55"/>
      <c r="B48" s="127">
        <f t="shared" si="28"/>
        <v>0</v>
      </c>
      <c r="C48" s="4">
        <f t="shared" si="15"/>
        <v>0</v>
      </c>
      <c r="D48" s="7"/>
      <c r="E48" s="134"/>
      <c r="F48" s="129">
        <f t="shared" si="29"/>
        <v>0</v>
      </c>
      <c r="G48" s="15"/>
      <c r="H48" s="137"/>
      <c r="I48" s="135"/>
      <c r="J48" s="117"/>
      <c r="K48" s="113"/>
      <c r="L48" s="132"/>
      <c r="M48" s="117"/>
      <c r="N48" s="117"/>
      <c r="O48" s="117"/>
      <c r="P48" s="133"/>
      <c r="Q48" s="139"/>
      <c r="R48" s="19"/>
      <c r="S48" s="54"/>
      <c r="U48" s="121">
        <f t="shared" si="21"/>
        <v>0</v>
      </c>
      <c r="V48" s="122">
        <f t="shared" si="10"/>
        <v>0</v>
      </c>
      <c r="W48" s="123">
        <f t="shared" si="31"/>
        <v>-120.57808219178082</v>
      </c>
      <c r="X48" s="124">
        <f t="shared" si="22"/>
        <v>0</v>
      </c>
      <c r="Y48" s="125">
        <f t="shared" si="12"/>
        <v>0</v>
      </c>
      <c r="Z48" s="126">
        <f t="shared" si="23"/>
        <v>0</v>
      </c>
      <c r="AA48" s="96"/>
      <c r="AB48" s="121">
        <f t="shared" si="24"/>
        <v>0</v>
      </c>
      <c r="AC48" s="122">
        <f t="shared" si="25"/>
        <v>0</v>
      </c>
      <c r="AD48" s="123">
        <f t="shared" si="32"/>
        <v>-120.57808219178082</v>
      </c>
      <c r="AE48" s="124">
        <f t="shared" si="26"/>
        <v>0</v>
      </c>
      <c r="AF48" s="125">
        <f t="shared" si="14"/>
        <v>0</v>
      </c>
      <c r="AG48" s="126">
        <f t="shared" si="27"/>
        <v>0</v>
      </c>
      <c r="AH48" s="97"/>
    </row>
    <row r="49" spans="1:34" ht="17.25" hidden="1" customHeight="1" thickBot="1" x14ac:dyDescent="0.35">
      <c r="A49" s="55"/>
      <c r="B49" s="127">
        <f t="shared" si="28"/>
        <v>0</v>
      </c>
      <c r="C49" s="4">
        <f t="shared" si="15"/>
        <v>0</v>
      </c>
      <c r="D49" s="8"/>
      <c r="E49" s="134"/>
      <c r="F49" s="129"/>
      <c r="G49" s="15"/>
      <c r="H49" s="137"/>
      <c r="I49" s="141"/>
      <c r="J49" s="142"/>
      <c r="K49" s="143"/>
      <c r="L49" s="144"/>
      <c r="M49" s="142"/>
      <c r="N49" s="142"/>
      <c r="O49" s="142"/>
      <c r="P49" s="145"/>
      <c r="Q49" s="139"/>
      <c r="R49" s="19"/>
      <c r="S49" s="54"/>
      <c r="U49" s="121">
        <f t="shared" si="21"/>
        <v>0</v>
      </c>
      <c r="V49" s="122">
        <f t="shared" si="10"/>
        <v>0</v>
      </c>
      <c r="W49" s="123">
        <f t="shared" si="31"/>
        <v>-120.57808219178082</v>
      </c>
      <c r="X49" s="124">
        <f t="shared" si="22"/>
        <v>0</v>
      </c>
      <c r="Y49" s="125">
        <f t="shared" si="12"/>
        <v>0</v>
      </c>
      <c r="Z49" s="126">
        <f t="shared" si="23"/>
        <v>0</v>
      </c>
      <c r="AA49" s="96"/>
      <c r="AB49" s="121">
        <f t="shared" si="24"/>
        <v>0</v>
      </c>
      <c r="AC49" s="122">
        <f t="shared" si="25"/>
        <v>0</v>
      </c>
      <c r="AD49" s="123">
        <f t="shared" si="32"/>
        <v>-120.57808219178082</v>
      </c>
      <c r="AE49" s="124">
        <f t="shared" si="26"/>
        <v>0</v>
      </c>
      <c r="AF49" s="125">
        <f t="shared" si="14"/>
        <v>0</v>
      </c>
      <c r="AG49" s="126">
        <f t="shared" si="27"/>
        <v>0</v>
      </c>
      <c r="AH49" s="97"/>
    </row>
    <row r="50" spans="1:34" ht="17.25" hidden="1" customHeight="1" thickBot="1" x14ac:dyDescent="0.35">
      <c r="A50" s="55"/>
      <c r="B50" s="146"/>
      <c r="C50" s="9"/>
      <c r="D50" s="8"/>
      <c r="E50" s="147"/>
      <c r="F50" s="147"/>
      <c r="G50" s="12"/>
      <c r="H50" s="12"/>
      <c r="I50" s="141"/>
      <c r="J50" s="142">
        <f>H50+I50</f>
        <v>0</v>
      </c>
      <c r="K50" s="143">
        <f t="shared" si="17"/>
        <v>0</v>
      </c>
      <c r="L50" s="144"/>
      <c r="M50" s="142">
        <f>+IF(N49&gt;(K50-L50),+IF(L50&gt;0,K50-L50,0),N49)</f>
        <v>0</v>
      </c>
      <c r="N50" s="142"/>
      <c r="O50" s="142">
        <f t="shared" si="8"/>
        <v>0</v>
      </c>
      <c r="P50" s="145">
        <f t="shared" si="9"/>
        <v>0</v>
      </c>
      <c r="Q50" s="139"/>
      <c r="R50" s="19"/>
      <c r="S50" s="58"/>
      <c r="U50" s="121">
        <f t="shared" si="21"/>
        <v>0</v>
      </c>
      <c r="V50" s="122">
        <f t="shared" si="10"/>
        <v>0</v>
      </c>
      <c r="W50" s="123">
        <f t="shared" si="31"/>
        <v>-120.57808219178082</v>
      </c>
      <c r="X50" s="124">
        <f t="shared" si="22"/>
        <v>0</v>
      </c>
      <c r="Y50" s="125">
        <f t="shared" si="12"/>
        <v>0</v>
      </c>
      <c r="Z50" s="126">
        <f t="shared" si="23"/>
        <v>0</v>
      </c>
      <c r="AA50" s="96"/>
      <c r="AB50" s="121">
        <f t="shared" si="24"/>
        <v>0</v>
      </c>
      <c r="AC50" s="122">
        <f t="shared" si="25"/>
        <v>0</v>
      </c>
      <c r="AD50" s="123">
        <f t="shared" si="32"/>
        <v>-120.57808219178082</v>
      </c>
      <c r="AE50" s="124">
        <f t="shared" si="26"/>
        <v>0</v>
      </c>
      <c r="AF50" s="125">
        <f t="shared" si="14"/>
        <v>0</v>
      </c>
      <c r="AG50" s="126">
        <f t="shared" si="27"/>
        <v>0</v>
      </c>
      <c r="AH50" s="97"/>
    </row>
    <row r="51" spans="1:34" ht="17.25" hidden="1" customHeight="1" thickBot="1" x14ac:dyDescent="0.3">
      <c r="A51" s="55"/>
      <c r="B51" s="148"/>
      <c r="C51" s="148"/>
      <c r="D51" s="148"/>
      <c r="E51" s="148"/>
      <c r="F51" s="148"/>
      <c r="G51" s="149"/>
      <c r="H51" s="150"/>
      <c r="I51" s="148"/>
      <c r="J51" s="148"/>
      <c r="K51" s="148"/>
      <c r="L51" s="148"/>
      <c r="M51" s="148"/>
      <c r="N51" s="148"/>
      <c r="O51" s="148"/>
      <c r="P51" s="148"/>
      <c r="Q51" s="148"/>
      <c r="R51" s="148"/>
      <c r="S51" s="58"/>
      <c r="U51" s="151" t="s">
        <v>18</v>
      </c>
      <c r="V51" s="152">
        <f>SUM(V36:V49)</f>
        <v>88667836</v>
      </c>
      <c r="W51" s="123"/>
      <c r="X51" s="152">
        <f>SUM(X36:X49)</f>
        <v>0.44157166870270503</v>
      </c>
      <c r="Y51" s="152">
        <f>SUM(Y36:Y49)</f>
        <v>79126911.447090521</v>
      </c>
      <c r="Z51" s="153">
        <f>SUM(Z36:Z45)</f>
        <v>0.42627815113018142</v>
      </c>
      <c r="AA51" s="96" t="s">
        <v>20</v>
      </c>
      <c r="AB51" s="151" t="s">
        <v>18</v>
      </c>
      <c r="AC51" s="152">
        <f>SUM(AC36:AC49)</f>
        <v>89645720.547945201</v>
      </c>
      <c r="AD51" s="123"/>
      <c r="AE51" s="152">
        <f>SUM(AE36:AE49)</f>
        <v>0.44036771539869002</v>
      </c>
      <c r="AF51" s="152">
        <f>SUM(AF36:AF45)</f>
        <v>79316779.803912431</v>
      </c>
      <c r="AG51" s="153">
        <f>SUM(AG36:AG45)</f>
        <v>0.42387432142463022</v>
      </c>
      <c r="AH51" s="97" t="s">
        <v>20</v>
      </c>
    </row>
    <row r="52" spans="1:34" ht="15.75" hidden="1" customHeight="1" thickBot="1" x14ac:dyDescent="0.3">
      <c r="A52" s="55"/>
      <c r="B52" s="154"/>
      <c r="C52" s="154"/>
      <c r="D52" s="19"/>
      <c r="E52" s="19"/>
      <c r="F52" s="19"/>
      <c r="G52" s="19"/>
      <c r="H52" s="19"/>
      <c r="I52" s="19"/>
      <c r="J52" s="19"/>
      <c r="K52" s="19"/>
      <c r="L52" s="19"/>
      <c r="M52" s="19"/>
      <c r="N52" s="19"/>
      <c r="O52" s="19"/>
      <c r="P52" s="19"/>
      <c r="Q52" s="148"/>
      <c r="R52" s="148"/>
      <c r="S52" s="58"/>
      <c r="U52" s="155"/>
      <c r="V52" s="156"/>
      <c r="W52" s="157"/>
      <c r="X52" s="158">
        <f>+X51*12</f>
        <v>5.2988600244324608</v>
      </c>
      <c r="Y52" s="159"/>
      <c r="Z52" s="160">
        <f>+Z51*12</f>
        <v>5.115337813562177</v>
      </c>
      <c r="AA52" s="161" t="s">
        <v>21</v>
      </c>
      <c r="AB52" s="155"/>
      <c r="AC52" s="156"/>
      <c r="AD52" s="157"/>
      <c r="AE52" s="158">
        <f>+AE51*12</f>
        <v>5.2844125847842802</v>
      </c>
      <c r="AF52" s="159"/>
      <c r="AG52" s="162">
        <f>+AG51*12</f>
        <v>5.0864918570955631</v>
      </c>
      <c r="AH52" s="163" t="s">
        <v>21</v>
      </c>
    </row>
    <row r="53" spans="1:34" s="179" customFormat="1" ht="15.75" hidden="1" customHeight="1" thickBot="1" x14ac:dyDescent="0.3">
      <c r="A53" s="164"/>
      <c r="B53" s="154"/>
      <c r="C53" s="154"/>
      <c r="D53" s="165" t="s">
        <v>5</v>
      </c>
      <c r="E53" s="166"/>
      <c r="F53" s="167"/>
      <c r="G53" s="167"/>
      <c r="H53" s="147">
        <f>SUM(H36:H51)</f>
        <v>10667836</v>
      </c>
      <c r="I53" s="147">
        <f>SUM(I36:I51)</f>
        <v>78000000</v>
      </c>
      <c r="J53" s="168">
        <f>SUM(J36:J51)</f>
        <v>88667836</v>
      </c>
      <c r="K53" s="169"/>
      <c r="L53" s="170">
        <f>SUM(L36:L51)</f>
        <v>11645720.547945205</v>
      </c>
      <c r="M53" s="170">
        <f>SUM(M36:M51)</f>
        <v>78000000</v>
      </c>
      <c r="N53" s="167"/>
      <c r="O53" s="171">
        <f>SUM(O36:O51)</f>
        <v>89645720.547945201</v>
      </c>
      <c r="P53" s="57"/>
      <c r="Q53" s="148"/>
      <c r="R53" s="148"/>
      <c r="S53" s="58"/>
      <c r="T53" s="22"/>
      <c r="U53" s="172"/>
      <c r="V53" s="173"/>
      <c r="W53" s="172"/>
      <c r="X53" s="172"/>
      <c r="Y53" s="172">
        <f>+Z53/30</f>
        <v>10.033333333333333</v>
      </c>
      <c r="Z53" s="174">
        <f>+U45-V31</f>
        <v>301</v>
      </c>
      <c r="AA53" s="175" t="s">
        <v>15</v>
      </c>
      <c r="AB53" s="155"/>
      <c r="AC53" s="156"/>
      <c r="AD53" s="176"/>
      <c r="AE53" s="176"/>
      <c r="AF53" s="176"/>
      <c r="AG53" s="177">
        <f>+AB45-AC31</f>
        <v>301</v>
      </c>
      <c r="AH53" s="178" t="s">
        <v>15</v>
      </c>
    </row>
    <row r="54" spans="1:34" ht="15" hidden="1" customHeight="1" x14ac:dyDescent="0.25">
      <c r="A54" s="55"/>
      <c r="B54" s="20"/>
      <c r="C54" s="21"/>
      <c r="D54" s="180"/>
      <c r="E54" s="180"/>
      <c r="F54" s="148"/>
      <c r="G54" s="148"/>
      <c r="H54" s="148"/>
      <c r="I54" s="148"/>
      <c r="J54" s="148"/>
      <c r="K54" s="148"/>
      <c r="L54" s="148"/>
      <c r="M54" s="148"/>
      <c r="N54" s="148"/>
      <c r="O54" s="148"/>
      <c r="P54" s="148"/>
      <c r="Q54" s="148"/>
      <c r="R54" s="148"/>
      <c r="S54" s="58"/>
      <c r="U54" s="1"/>
      <c r="V54" s="1"/>
      <c r="W54" s="1"/>
      <c r="X54" s="2"/>
      <c r="Y54" s="181"/>
      <c r="AA54" s="2"/>
    </row>
    <row r="55" spans="1:34" ht="15" hidden="1" customHeight="1" x14ac:dyDescent="0.25">
      <c r="A55" s="55"/>
      <c r="B55" s="20"/>
      <c r="C55" s="21"/>
      <c r="D55" s="180"/>
      <c r="E55" s="180"/>
      <c r="F55" s="148"/>
      <c r="G55" s="148"/>
      <c r="H55" s="148"/>
      <c r="I55" s="148"/>
      <c r="J55" s="148"/>
      <c r="K55" s="148"/>
      <c r="L55" s="148"/>
      <c r="M55" s="148"/>
      <c r="N55" s="148"/>
      <c r="O55" s="148"/>
      <c r="P55" s="148"/>
      <c r="Q55" s="148"/>
      <c r="R55" s="148"/>
      <c r="S55" s="58"/>
      <c r="U55" s="1"/>
      <c r="V55" s="1"/>
      <c r="W55" s="1"/>
      <c r="X55" s="2"/>
      <c r="Y55" s="181"/>
      <c r="AA55" s="2"/>
    </row>
    <row r="56" spans="1:34" ht="19.5" hidden="1" customHeight="1" x14ac:dyDescent="0.25">
      <c r="A56" s="55"/>
      <c r="B56" s="20"/>
      <c r="C56" s="21"/>
      <c r="D56" s="180"/>
      <c r="E56" s="180"/>
      <c r="F56" s="148"/>
      <c r="G56" s="148"/>
      <c r="H56" s="148"/>
      <c r="I56" s="148"/>
      <c r="J56" s="148"/>
      <c r="K56" s="148"/>
      <c r="L56" s="148"/>
      <c r="M56" s="148"/>
      <c r="N56" s="148"/>
      <c r="O56" s="148"/>
      <c r="P56" s="148"/>
      <c r="Q56" s="148"/>
      <c r="R56" s="148"/>
      <c r="S56" s="58"/>
      <c r="U56" s="1"/>
      <c r="V56" s="1"/>
      <c r="W56" s="1"/>
      <c r="X56" s="2"/>
      <c r="Y56" s="181"/>
      <c r="AA56" s="2"/>
    </row>
    <row r="57" spans="1:34" ht="15.75" hidden="1" customHeight="1" x14ac:dyDescent="0.25">
      <c r="A57" s="19"/>
      <c r="B57" s="20"/>
      <c r="C57" s="21"/>
      <c r="D57" s="19"/>
      <c r="E57" s="19"/>
      <c r="F57" s="19"/>
      <c r="G57" s="19"/>
      <c r="H57" s="19"/>
      <c r="I57" s="19"/>
      <c r="J57" s="19"/>
      <c r="K57" s="19"/>
      <c r="L57" s="19"/>
      <c r="M57" s="19"/>
      <c r="N57" s="19"/>
      <c r="O57" s="19"/>
      <c r="P57" s="19"/>
      <c r="Q57" s="19"/>
      <c r="R57" s="19"/>
      <c r="S57" s="58"/>
    </row>
    <row r="58" spans="1:34" x14ac:dyDescent="0.25">
      <c r="C58" s="182"/>
      <c r="D58" s="182"/>
      <c r="E58" s="182"/>
      <c r="F58" s="182"/>
      <c r="G58" s="182"/>
      <c r="H58" s="182"/>
      <c r="I58" s="182"/>
      <c r="J58" s="182"/>
      <c r="K58" s="182"/>
      <c r="L58" s="182"/>
      <c r="M58" s="182"/>
      <c r="N58" s="23"/>
      <c r="O58" s="23"/>
      <c r="P58" s="23"/>
      <c r="Q58" s="23"/>
      <c r="R58" s="23"/>
      <c r="S58" s="22"/>
    </row>
    <row r="59" spans="1:34" x14ac:dyDescent="0.25">
      <c r="C59" s="182"/>
      <c r="D59" s="182"/>
      <c r="E59" s="182"/>
      <c r="F59" s="182"/>
      <c r="G59" s="182"/>
      <c r="H59" s="182"/>
      <c r="I59" s="182"/>
      <c r="J59" s="182"/>
      <c r="K59" s="182"/>
      <c r="L59" s="182"/>
      <c r="M59" s="182"/>
      <c r="S59" s="22"/>
      <c r="W59" s="183"/>
      <c r="X59" s="1"/>
    </row>
    <row r="60" spans="1:34" x14ac:dyDescent="0.25">
      <c r="C60" s="182"/>
      <c r="D60" s="182"/>
      <c r="E60" s="182"/>
      <c r="F60" s="182"/>
      <c r="G60" s="182"/>
      <c r="H60" s="182"/>
      <c r="I60" s="182"/>
      <c r="J60" s="182"/>
      <c r="K60" s="182"/>
      <c r="L60" s="182"/>
      <c r="M60" s="182"/>
      <c r="S60" s="22"/>
    </row>
    <row r="61" spans="1:34" x14ac:dyDescent="0.25">
      <c r="C61" s="182"/>
      <c r="D61" s="182"/>
      <c r="E61" s="182"/>
      <c r="F61" s="182"/>
      <c r="G61" s="182"/>
      <c r="H61" s="182"/>
      <c r="I61" s="182"/>
      <c r="J61" s="182"/>
      <c r="K61" s="182"/>
      <c r="L61" s="182"/>
      <c r="M61" s="182"/>
      <c r="S61" s="22"/>
    </row>
    <row r="62" spans="1:34" x14ac:dyDescent="0.25">
      <c r="C62" s="182"/>
      <c r="D62" s="182"/>
      <c r="E62" s="182"/>
      <c r="F62" s="182"/>
      <c r="G62" s="182"/>
      <c r="H62" s="184"/>
      <c r="I62" s="184"/>
      <c r="J62" s="182"/>
      <c r="K62" s="182"/>
      <c r="L62" s="182"/>
      <c r="M62" s="182"/>
    </row>
    <row r="63" spans="1:34" x14ac:dyDescent="0.25">
      <c r="C63" s="182"/>
      <c r="D63" s="182"/>
      <c r="E63" s="182"/>
      <c r="F63" s="182"/>
      <c r="G63" s="182"/>
      <c r="H63" s="184"/>
      <c r="I63" s="184"/>
      <c r="J63" s="182"/>
      <c r="K63" s="182"/>
      <c r="L63" s="182"/>
      <c r="M63" s="182"/>
    </row>
    <row r="64" spans="1:34" x14ac:dyDescent="0.25">
      <c r="C64" s="182"/>
      <c r="D64" s="182"/>
      <c r="E64" s="182"/>
      <c r="F64" s="182"/>
      <c r="G64" s="182"/>
      <c r="H64" s="184"/>
      <c r="I64" s="184"/>
      <c r="J64" s="182"/>
      <c r="K64" s="182"/>
      <c r="L64" s="182"/>
      <c r="M64" s="182"/>
    </row>
    <row r="65" spans="3:13" x14ac:dyDescent="0.25">
      <c r="C65" s="182"/>
      <c r="D65" s="182"/>
      <c r="E65" s="182"/>
      <c r="F65" s="182"/>
      <c r="G65" s="182"/>
      <c r="H65" s="184"/>
      <c r="I65" s="184"/>
      <c r="J65" s="182"/>
      <c r="K65" s="182"/>
      <c r="L65" s="182"/>
      <c r="M65" s="182"/>
    </row>
    <row r="66" spans="3:13" x14ac:dyDescent="0.25">
      <c r="C66" s="182"/>
      <c r="D66" s="182"/>
      <c r="E66" s="182"/>
      <c r="F66" s="182"/>
      <c r="G66" s="182"/>
      <c r="H66" s="184"/>
      <c r="I66" s="184"/>
      <c r="J66" s="182"/>
      <c r="K66" s="182"/>
      <c r="L66" s="182"/>
      <c r="M66" s="182"/>
    </row>
    <row r="67" spans="3:13" x14ac:dyDescent="0.25">
      <c r="C67" s="182"/>
      <c r="D67" s="182"/>
      <c r="E67" s="182"/>
      <c r="F67" s="182"/>
      <c r="G67" s="182"/>
      <c r="H67" s="184"/>
      <c r="I67" s="184"/>
      <c r="J67" s="182"/>
      <c r="K67" s="182"/>
      <c r="L67" s="182"/>
      <c r="M67" s="182"/>
    </row>
    <row r="68" spans="3:13" x14ac:dyDescent="0.25">
      <c r="C68" s="182"/>
      <c r="D68" s="182"/>
      <c r="E68" s="182"/>
      <c r="F68" s="182"/>
      <c r="G68" s="182"/>
      <c r="H68" s="182"/>
      <c r="I68" s="182"/>
      <c r="J68" s="182"/>
      <c r="K68" s="182"/>
      <c r="L68" s="182"/>
      <c r="M68" s="182"/>
    </row>
  </sheetData>
  <sheetProtection algorithmName="SHA-512" hashValue="65WP2EKBEW7yxYfONiJWWIZ6leNUpO7XryFQYBhc0iQ8xuXhiHIuLUvUWfKoBpsayGSDY7CY0zju6bMJPVMM9A==" saltValue="mKdG9nOXCrV6L/yMRDsGRg==" spinCount="100000" sheet="1" selectLockedCells="1"/>
  <protectedRanges>
    <protectedRange sqref="D13:D14" name="Rango1"/>
  </protectedRanges>
  <mergeCells count="46">
    <mergeCell ref="Q34:R34"/>
    <mergeCell ref="Q33:R33"/>
    <mergeCell ref="H2:M2"/>
    <mergeCell ref="H6:M6"/>
    <mergeCell ref="H8:H9"/>
    <mergeCell ref="P33:P34"/>
    <mergeCell ref="H1:M1"/>
    <mergeCell ref="B10:C10"/>
    <mergeCell ref="H3:M3"/>
    <mergeCell ref="B9:C9"/>
    <mergeCell ref="B12:C12"/>
    <mergeCell ref="L8:L9"/>
    <mergeCell ref="M8:M9"/>
    <mergeCell ref="B7:C7"/>
    <mergeCell ref="X31:Z31"/>
    <mergeCell ref="I8:I9"/>
    <mergeCell ref="P7:R25"/>
    <mergeCell ref="H7:M7"/>
    <mergeCell ref="B22:C22"/>
    <mergeCell ref="B14:C14"/>
    <mergeCell ref="B8:C8"/>
    <mergeCell ref="B11:C11"/>
    <mergeCell ref="J8:J9"/>
    <mergeCell ref="K8:K9"/>
    <mergeCell ref="B23:C23"/>
    <mergeCell ref="B24:C24"/>
    <mergeCell ref="B17:C17"/>
    <mergeCell ref="B20:C20"/>
    <mergeCell ref="B19:C19"/>
    <mergeCell ref="B13:C13"/>
    <mergeCell ref="AE31:AG31"/>
    <mergeCell ref="B15:C15"/>
    <mergeCell ref="B21:C21"/>
    <mergeCell ref="F33:F34"/>
    <mergeCell ref="B16:C16"/>
    <mergeCell ref="H33:H34"/>
    <mergeCell ref="O33:O34"/>
    <mergeCell ref="G33:G34"/>
    <mergeCell ref="B18:C18"/>
    <mergeCell ref="I33:I34"/>
    <mergeCell ref="D33:D34"/>
    <mergeCell ref="F30:J30"/>
    <mergeCell ref="K30:P30"/>
    <mergeCell ref="N33:N34"/>
    <mergeCell ref="J33:J34"/>
    <mergeCell ref="K33:K34"/>
  </mergeCells>
  <pageMargins left="0.70866141732283472" right="0.70866141732283472" top="0.74803149606299213" bottom="0.74803149606299213" header="0.31496062992125984" footer="0.31496062992125984"/>
  <pageSetup paperSize="9" scale="7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7"/>
  <sheetViews>
    <sheetView zoomScale="80" zoomScaleNormal="80" workbookViewId="0">
      <selection activeCell="D13" sqref="D13"/>
    </sheetView>
  </sheetViews>
  <sheetFormatPr baseColWidth="10" defaultRowHeight="15" x14ac:dyDescent="0.25"/>
  <cols>
    <col min="1" max="1" width="2.140625" style="24" customWidth="1"/>
    <col min="2" max="2" width="15.42578125" style="182" customWidth="1"/>
    <col min="3" max="3" width="10.42578125" style="185" customWidth="1"/>
    <col min="4" max="4" width="14.5703125" style="24" customWidth="1"/>
    <col min="5" max="5" width="3.5703125" style="24" customWidth="1"/>
    <col min="6" max="6" width="11.42578125" style="24" hidden="1" customWidth="1"/>
    <col min="7" max="7" width="9.42578125" style="24" hidden="1" customWidth="1"/>
    <col min="8" max="8" width="13" style="24" customWidth="1"/>
    <col min="9" max="9" width="12.28515625" style="24" customWidth="1"/>
    <col min="10" max="10" width="12.5703125" style="24" customWidth="1"/>
    <col min="11" max="11" width="12.42578125" style="24" customWidth="1"/>
    <col min="12" max="12" width="14.85546875" style="24" customWidth="1"/>
    <col min="13" max="13" width="13.42578125" style="24" customWidth="1"/>
    <col min="14" max="14" width="15.5703125" style="24" hidden="1" customWidth="1"/>
    <col min="15" max="15" width="11.42578125" style="24" bestFit="1" customWidth="1"/>
    <col min="16" max="16" width="9.140625" style="24" customWidth="1"/>
    <col min="17" max="17" width="16.5703125" style="24" customWidth="1"/>
    <col min="18" max="18" width="14.7109375" style="24" customWidth="1"/>
    <col min="19" max="19" width="2.7109375" style="24" customWidth="1"/>
    <col min="20" max="20" width="4.140625" style="22" customWidth="1"/>
    <col min="21" max="21" width="12" style="22" bestFit="1" customWidth="1"/>
    <col min="22" max="22" width="12.140625" style="22" bestFit="1" customWidth="1"/>
    <col min="23" max="23" width="10.7109375" style="23" customWidth="1"/>
    <col min="24" max="24" width="14.7109375" style="23" bestFit="1" customWidth="1"/>
    <col min="25" max="25" width="12.28515625" style="24" bestFit="1" customWidth="1"/>
    <col min="26" max="26" width="9.28515625" style="24" bestFit="1" customWidth="1"/>
    <col min="27" max="27" width="16" style="24" bestFit="1" customWidth="1"/>
    <col min="28" max="28" width="12" style="24" bestFit="1" customWidth="1"/>
    <col min="29" max="29" width="12.140625" style="24" bestFit="1" customWidth="1"/>
    <col min="30" max="30" width="8.42578125" style="24" bestFit="1" customWidth="1"/>
    <col min="31" max="31" width="14.7109375" style="24" bestFit="1" customWidth="1"/>
    <col min="32" max="32" width="12.28515625" style="24" bestFit="1" customWidth="1"/>
    <col min="33" max="33" width="9.28515625" style="24" bestFit="1" customWidth="1"/>
    <col min="34" max="34" width="16" style="24" bestFit="1" customWidth="1"/>
    <col min="35" max="35" width="11.42578125" style="24" customWidth="1"/>
    <col min="36" max="16384" width="11.42578125" style="24"/>
  </cols>
  <sheetData>
    <row r="1" spans="1:19" ht="37.5" customHeight="1" x14ac:dyDescent="0.45">
      <c r="A1" s="19"/>
      <c r="B1" s="20"/>
      <c r="C1" s="21"/>
      <c r="D1" s="19"/>
      <c r="E1" s="19"/>
      <c r="F1" s="19"/>
      <c r="G1" s="19"/>
      <c r="H1" s="317" t="str">
        <f>'VDF A'!H1:M1</f>
        <v>Fideicomiso Financiero TARJETA FERTIL 15</v>
      </c>
      <c r="I1" s="317"/>
      <c r="J1" s="317"/>
      <c r="K1" s="317"/>
      <c r="L1" s="317"/>
      <c r="M1" s="317"/>
      <c r="N1" s="19"/>
      <c r="O1" s="19"/>
      <c r="P1" s="19"/>
      <c r="Q1" s="19"/>
      <c r="R1" s="19"/>
      <c r="S1" s="19"/>
    </row>
    <row r="2" spans="1:19" ht="18.75" x14ac:dyDescent="0.3">
      <c r="A2" s="19"/>
      <c r="B2" s="20"/>
      <c r="C2" s="21"/>
      <c r="D2" s="19"/>
      <c r="E2" s="19"/>
      <c r="F2" s="19"/>
      <c r="G2" s="19"/>
      <c r="H2" s="292" t="str">
        <f>+'VDF A'!H2:M2</f>
        <v>VN: $ 110.784.669</v>
      </c>
      <c r="I2" s="292"/>
      <c r="J2" s="292"/>
      <c r="K2" s="292"/>
      <c r="L2" s="292"/>
      <c r="M2" s="292"/>
      <c r="N2" s="19"/>
      <c r="O2" s="19"/>
      <c r="P2" s="19"/>
      <c r="Q2" s="25"/>
      <c r="R2" s="26"/>
      <c r="S2" s="26"/>
    </row>
    <row r="3" spans="1:19" ht="18.75" customHeight="1" x14ac:dyDescent="0.3">
      <c r="A3" s="19"/>
      <c r="B3" s="20"/>
      <c r="C3" s="21"/>
      <c r="D3" s="19"/>
      <c r="E3" s="19"/>
      <c r="F3" s="19"/>
      <c r="G3" s="19"/>
      <c r="H3" s="292" t="s">
        <v>34</v>
      </c>
      <c r="I3" s="292"/>
      <c r="J3" s="292"/>
      <c r="K3" s="292"/>
      <c r="L3" s="292"/>
      <c r="M3" s="292"/>
      <c r="N3" s="19"/>
      <c r="O3" s="19"/>
      <c r="P3" s="19"/>
      <c r="Q3" s="27"/>
      <c r="R3" s="19"/>
      <c r="S3" s="19"/>
    </row>
    <row r="4" spans="1:19" ht="18.75" customHeight="1" x14ac:dyDescent="0.3">
      <c r="A4" s="19"/>
      <c r="B4" s="20"/>
      <c r="C4" s="21"/>
      <c r="D4" s="19"/>
      <c r="E4" s="19"/>
      <c r="F4" s="19"/>
      <c r="G4" s="19"/>
      <c r="H4" s="28"/>
      <c r="I4" s="28"/>
      <c r="J4" s="28"/>
      <c r="K4" s="28"/>
      <c r="L4" s="28"/>
      <c r="M4" s="28"/>
      <c r="N4" s="19"/>
      <c r="O4" s="19"/>
      <c r="P4" s="19"/>
      <c r="Q4" s="27"/>
      <c r="R4" s="19"/>
      <c r="S4" s="19"/>
    </row>
    <row r="5" spans="1:19" ht="15.75" x14ac:dyDescent="0.25">
      <c r="A5" s="19"/>
      <c r="B5" s="20"/>
      <c r="C5" s="21"/>
      <c r="D5" s="19"/>
      <c r="E5" s="19"/>
      <c r="F5" s="19"/>
      <c r="G5" s="19"/>
      <c r="H5" s="29"/>
      <c r="I5" s="29"/>
      <c r="J5" s="29"/>
      <c r="K5" s="29"/>
      <c r="L5" s="29"/>
      <c r="M5" s="29"/>
      <c r="N5" s="19"/>
      <c r="O5" s="19"/>
      <c r="P5" s="19"/>
      <c r="Q5" s="27"/>
      <c r="R5" s="19"/>
      <c r="S5" s="19"/>
    </row>
    <row r="6" spans="1:19" ht="15.75" customHeight="1" x14ac:dyDescent="0.25">
      <c r="A6" s="19"/>
      <c r="B6" s="20"/>
      <c r="C6" s="21"/>
      <c r="D6" s="19"/>
      <c r="E6" s="19"/>
      <c r="F6" s="19"/>
      <c r="G6" s="19"/>
      <c r="H6" s="302" t="s">
        <v>55</v>
      </c>
      <c r="I6" s="303"/>
      <c r="J6" s="303"/>
      <c r="K6" s="303"/>
      <c r="L6" s="303"/>
      <c r="M6" s="304"/>
      <c r="N6" s="19"/>
      <c r="O6" s="19"/>
      <c r="P6" s="19"/>
      <c r="Q6" s="27"/>
      <c r="R6" s="19"/>
      <c r="S6" s="19"/>
    </row>
    <row r="7" spans="1:19" ht="15.75" customHeight="1" x14ac:dyDescent="0.25">
      <c r="A7" s="19"/>
      <c r="B7" s="295" t="s">
        <v>40</v>
      </c>
      <c r="C7" s="296"/>
      <c r="D7" s="232">
        <f>+'VDF A'!D7</f>
        <v>44011</v>
      </c>
      <c r="E7" s="30"/>
      <c r="F7" s="31"/>
      <c r="G7" s="186"/>
      <c r="H7" s="282" t="s">
        <v>50</v>
      </c>
      <c r="I7" s="283"/>
      <c r="J7" s="283"/>
      <c r="K7" s="283"/>
      <c r="L7" s="283"/>
      <c r="M7" s="284"/>
      <c r="N7" s="187"/>
      <c r="O7" s="32"/>
      <c r="P7" s="273" t="s">
        <v>51</v>
      </c>
      <c r="Q7" s="274"/>
      <c r="R7" s="275"/>
      <c r="S7" s="31"/>
    </row>
    <row r="8" spans="1:19" ht="15.75" customHeight="1" x14ac:dyDescent="0.25">
      <c r="A8" s="19"/>
      <c r="B8" s="250" t="s">
        <v>59</v>
      </c>
      <c r="C8" s="251"/>
      <c r="D8" s="233">
        <f>+'VDF A'!D8</f>
        <v>44009</v>
      </c>
      <c r="E8" s="33"/>
      <c r="F8" s="31"/>
      <c r="G8" s="188"/>
      <c r="H8" s="305" t="s">
        <v>35</v>
      </c>
      <c r="I8" s="271" t="s">
        <v>45</v>
      </c>
      <c r="J8" s="287" t="s">
        <v>46</v>
      </c>
      <c r="K8" s="287" t="s">
        <v>47</v>
      </c>
      <c r="L8" s="287" t="s">
        <v>49</v>
      </c>
      <c r="M8" s="293" t="s">
        <v>48</v>
      </c>
      <c r="N8" s="188"/>
      <c r="O8" s="31"/>
      <c r="P8" s="276"/>
      <c r="Q8" s="277"/>
      <c r="R8" s="278"/>
      <c r="S8" s="31"/>
    </row>
    <row r="9" spans="1:19" ht="15.75" customHeight="1" x14ac:dyDescent="0.25">
      <c r="A9" s="19"/>
      <c r="B9" s="250" t="s">
        <v>28</v>
      </c>
      <c r="C9" s="251"/>
      <c r="D9" s="234">
        <v>8571263</v>
      </c>
      <c r="E9" s="33"/>
      <c r="F9" s="31"/>
      <c r="G9" s="188"/>
      <c r="H9" s="305"/>
      <c r="I9" s="272"/>
      <c r="J9" s="288"/>
      <c r="K9" s="288"/>
      <c r="L9" s="288"/>
      <c r="M9" s="294"/>
      <c r="N9" s="188"/>
      <c r="O9" s="31"/>
      <c r="P9" s="276"/>
      <c r="Q9" s="277"/>
      <c r="R9" s="278"/>
      <c r="S9" s="31"/>
    </row>
    <row r="10" spans="1:19" ht="15.75" customHeight="1" x14ac:dyDescent="0.25">
      <c r="A10" s="19"/>
      <c r="B10" s="250" t="s">
        <v>31</v>
      </c>
      <c r="C10" s="251"/>
      <c r="D10" s="235">
        <f>+B34</f>
        <v>400</v>
      </c>
      <c r="E10" s="30"/>
      <c r="F10" s="35" t="s">
        <v>15</v>
      </c>
      <c r="G10" s="36" t="s">
        <v>26</v>
      </c>
      <c r="H10" s="37">
        <f>+D7</f>
        <v>44011</v>
      </c>
      <c r="I10" s="38"/>
      <c r="J10" s="38"/>
      <c r="K10" s="38"/>
      <c r="L10" s="38">
        <f>+D9</f>
        <v>8571263</v>
      </c>
      <c r="M10" s="39">
        <f>-L10*D17</f>
        <v>-8617204.7965993807</v>
      </c>
      <c r="N10" s="40">
        <f>-SUM(N11:N27)</f>
        <v>-8617204.7965993807</v>
      </c>
      <c r="O10" s="31"/>
      <c r="P10" s="276"/>
      <c r="Q10" s="277"/>
      <c r="R10" s="278"/>
      <c r="S10" s="31"/>
    </row>
    <row r="11" spans="1:19" ht="15.75" customHeight="1" x14ac:dyDescent="0.25">
      <c r="A11" s="19"/>
      <c r="B11" s="250" t="s">
        <v>29</v>
      </c>
      <c r="C11" s="251"/>
      <c r="D11" s="236">
        <f>C36</f>
        <v>0.31</v>
      </c>
      <c r="E11" s="33"/>
      <c r="F11" s="41">
        <f>+(H11-$D$38)</f>
        <v>28</v>
      </c>
      <c r="G11" s="17">
        <v>30</v>
      </c>
      <c r="H11" s="42">
        <f t="shared" ref="H11:H18" si="0">+D39</f>
        <v>44039</v>
      </c>
      <c r="I11" s="43">
        <f t="shared" ref="I11:I18" si="1">+K39</f>
        <v>0</v>
      </c>
      <c r="J11" s="43">
        <f t="shared" ref="J11:J22" si="2">L39</f>
        <v>0</v>
      </c>
      <c r="K11" s="43">
        <f t="shared" ref="K11:K22" si="3">+I39</f>
        <v>0</v>
      </c>
      <c r="L11" s="43">
        <f>IF((L10-K11)&lt;0,0,(L10-K11))</f>
        <v>8571263</v>
      </c>
      <c r="M11" s="44">
        <f t="shared" ref="M11:M22" si="4">J11+K11</f>
        <v>0</v>
      </c>
      <c r="N11" s="45">
        <f t="shared" ref="N11:N22" si="5">J39/(1+$D$14)^(F11/365)</f>
        <v>0</v>
      </c>
      <c r="O11" s="31"/>
      <c r="P11" s="276"/>
      <c r="Q11" s="277"/>
      <c r="R11" s="278"/>
      <c r="S11" s="31"/>
    </row>
    <row r="12" spans="1:19" ht="15.75" customHeight="1" x14ac:dyDescent="0.25">
      <c r="A12" s="19"/>
      <c r="B12" s="250" t="s">
        <v>30</v>
      </c>
      <c r="C12" s="251"/>
      <c r="D12" s="236">
        <f>C37</f>
        <v>0.41</v>
      </c>
      <c r="E12" s="33"/>
      <c r="F12" s="41">
        <f t="shared" ref="F12:F21" si="6">+(H12-$D$38)</f>
        <v>57</v>
      </c>
      <c r="G12" s="17">
        <v>30</v>
      </c>
      <c r="H12" s="42">
        <f t="shared" si="0"/>
        <v>44068</v>
      </c>
      <c r="I12" s="46">
        <f t="shared" si="1"/>
        <v>0</v>
      </c>
      <c r="J12" s="46">
        <f t="shared" si="2"/>
        <v>0</v>
      </c>
      <c r="K12" s="46">
        <f t="shared" si="3"/>
        <v>0</v>
      </c>
      <c r="L12" s="46">
        <f t="shared" ref="L12:L22" si="7">IF((L11-K12)&lt;0,0,(L11-K12))</f>
        <v>8571263</v>
      </c>
      <c r="M12" s="34">
        <f t="shared" si="4"/>
        <v>0</v>
      </c>
      <c r="N12" s="45">
        <f t="shared" si="5"/>
        <v>0</v>
      </c>
      <c r="O12" s="31"/>
      <c r="P12" s="276"/>
      <c r="Q12" s="277"/>
      <c r="R12" s="278"/>
      <c r="S12" s="31"/>
    </row>
    <row r="13" spans="1:19" ht="15.75" customHeight="1" x14ac:dyDescent="0.25">
      <c r="A13" s="19"/>
      <c r="B13" s="297" t="s">
        <v>44</v>
      </c>
      <c r="C13" s="298"/>
      <c r="D13" s="242">
        <v>0.29749999999999999</v>
      </c>
      <c r="E13" s="33"/>
      <c r="F13" s="41">
        <f t="shared" si="6"/>
        <v>88</v>
      </c>
      <c r="G13" s="17">
        <v>30</v>
      </c>
      <c r="H13" s="42">
        <f t="shared" si="0"/>
        <v>44099</v>
      </c>
      <c r="I13" s="43">
        <f t="shared" si="1"/>
        <v>0</v>
      </c>
      <c r="J13" s="43">
        <f t="shared" si="2"/>
        <v>0</v>
      </c>
      <c r="K13" s="43">
        <f t="shared" si="3"/>
        <v>0</v>
      </c>
      <c r="L13" s="43">
        <f t="shared" si="7"/>
        <v>8571263</v>
      </c>
      <c r="M13" s="44">
        <f t="shared" si="4"/>
        <v>0</v>
      </c>
      <c r="N13" s="45">
        <f t="shared" si="5"/>
        <v>0</v>
      </c>
      <c r="O13" s="31"/>
      <c r="P13" s="276"/>
      <c r="Q13" s="277"/>
      <c r="R13" s="278"/>
      <c r="S13" s="31"/>
    </row>
    <row r="14" spans="1:19" ht="15.75" customHeight="1" x14ac:dyDescent="0.25">
      <c r="A14" s="19"/>
      <c r="B14" s="285" t="s">
        <v>32</v>
      </c>
      <c r="C14" s="286"/>
      <c r="D14" s="243">
        <v>0.31</v>
      </c>
      <c r="E14" s="33"/>
      <c r="F14" s="41">
        <f t="shared" si="6"/>
        <v>119</v>
      </c>
      <c r="G14" s="17">
        <v>30</v>
      </c>
      <c r="H14" s="42">
        <f t="shared" si="0"/>
        <v>44130</v>
      </c>
      <c r="I14" s="46">
        <f t="shared" si="1"/>
        <v>0</v>
      </c>
      <c r="J14" s="46">
        <f t="shared" si="2"/>
        <v>0</v>
      </c>
      <c r="K14" s="46">
        <f t="shared" si="3"/>
        <v>0</v>
      </c>
      <c r="L14" s="46">
        <f t="shared" si="7"/>
        <v>8571263</v>
      </c>
      <c r="M14" s="34">
        <f t="shared" si="4"/>
        <v>0</v>
      </c>
      <c r="N14" s="45">
        <f t="shared" si="5"/>
        <v>0</v>
      </c>
      <c r="O14" s="31"/>
      <c r="P14" s="276"/>
      <c r="Q14" s="277"/>
      <c r="R14" s="278"/>
      <c r="S14" s="31"/>
    </row>
    <row r="15" spans="1:19" ht="15.75" customHeight="1" x14ac:dyDescent="0.25">
      <c r="A15" s="19"/>
      <c r="B15" s="248" t="s">
        <v>37</v>
      </c>
      <c r="C15" s="249" t="s">
        <v>36</v>
      </c>
      <c r="D15" s="244">
        <v>8571263</v>
      </c>
      <c r="E15" s="33"/>
      <c r="F15" s="41">
        <f t="shared" si="6"/>
        <v>149</v>
      </c>
      <c r="G15" s="17">
        <v>30</v>
      </c>
      <c r="H15" s="42">
        <f t="shared" si="0"/>
        <v>44160</v>
      </c>
      <c r="I15" s="43">
        <f t="shared" si="1"/>
        <v>0</v>
      </c>
      <c r="J15" s="43">
        <f t="shared" si="2"/>
        <v>0</v>
      </c>
      <c r="K15" s="43">
        <f t="shared" si="3"/>
        <v>0</v>
      </c>
      <c r="L15" s="43">
        <f t="shared" si="7"/>
        <v>8571263</v>
      </c>
      <c r="M15" s="44">
        <f t="shared" si="4"/>
        <v>0</v>
      </c>
      <c r="N15" s="45">
        <f t="shared" si="5"/>
        <v>0</v>
      </c>
      <c r="O15" s="31"/>
      <c r="P15" s="276"/>
      <c r="Q15" s="277"/>
      <c r="R15" s="278"/>
      <c r="S15" s="31"/>
    </row>
    <row r="16" spans="1:19" ht="15.75" customHeight="1" x14ac:dyDescent="0.25">
      <c r="A16" s="19"/>
      <c r="B16" s="250" t="s">
        <v>41</v>
      </c>
      <c r="C16" s="251"/>
      <c r="D16" s="237">
        <f>+D15*D17</f>
        <v>8617204.7965993807</v>
      </c>
      <c r="E16" s="33"/>
      <c r="F16" s="41">
        <f t="shared" si="6"/>
        <v>182</v>
      </c>
      <c r="G16" s="17">
        <v>30</v>
      </c>
      <c r="H16" s="42">
        <f t="shared" si="0"/>
        <v>44193</v>
      </c>
      <c r="I16" s="46">
        <f t="shared" si="1"/>
        <v>0</v>
      </c>
      <c r="J16" s="46">
        <f t="shared" si="2"/>
        <v>0</v>
      </c>
      <c r="K16" s="46">
        <f t="shared" si="3"/>
        <v>0</v>
      </c>
      <c r="L16" s="46">
        <f t="shared" si="7"/>
        <v>8571263</v>
      </c>
      <c r="M16" s="34">
        <f t="shared" si="4"/>
        <v>0</v>
      </c>
      <c r="N16" s="45">
        <f t="shared" si="5"/>
        <v>0</v>
      </c>
      <c r="O16" s="31"/>
      <c r="P16" s="276"/>
      <c r="Q16" s="277"/>
      <c r="R16" s="278"/>
      <c r="S16" s="31"/>
    </row>
    <row r="17" spans="1:19" ht="15.75" customHeight="1" x14ac:dyDescent="0.25">
      <c r="A17" s="19"/>
      <c r="B17" s="250" t="s">
        <v>52</v>
      </c>
      <c r="C17" s="251"/>
      <c r="D17" s="238">
        <f>$N$10/$J$38</f>
        <v>1.0053599798068711</v>
      </c>
      <c r="E17" s="33"/>
      <c r="F17" s="41">
        <f t="shared" si="6"/>
        <v>210</v>
      </c>
      <c r="G17" s="17">
        <v>30</v>
      </c>
      <c r="H17" s="42">
        <f t="shared" si="0"/>
        <v>44221</v>
      </c>
      <c r="I17" s="43">
        <f t="shared" si="1"/>
        <v>0</v>
      </c>
      <c r="J17" s="43">
        <f t="shared" si="2"/>
        <v>0</v>
      </c>
      <c r="K17" s="43">
        <f t="shared" si="3"/>
        <v>0</v>
      </c>
      <c r="L17" s="43">
        <f t="shared" si="7"/>
        <v>8571263</v>
      </c>
      <c r="M17" s="44">
        <f t="shared" si="4"/>
        <v>0</v>
      </c>
      <c r="N17" s="45">
        <f t="shared" si="5"/>
        <v>0</v>
      </c>
      <c r="O17" s="31"/>
      <c r="P17" s="276"/>
      <c r="Q17" s="277"/>
      <c r="R17" s="278"/>
      <c r="S17" s="31"/>
    </row>
    <row r="18" spans="1:19" ht="15.75" customHeight="1" x14ac:dyDescent="0.25">
      <c r="A18" s="19"/>
      <c r="B18" s="250" t="s">
        <v>42</v>
      </c>
      <c r="C18" s="251"/>
      <c r="D18" s="234">
        <f>-J38*D17</f>
        <v>8617204.7965993807</v>
      </c>
      <c r="E18" s="33"/>
      <c r="F18" s="41">
        <f t="shared" si="6"/>
        <v>241</v>
      </c>
      <c r="G18" s="17">
        <v>30</v>
      </c>
      <c r="H18" s="42">
        <f t="shared" si="0"/>
        <v>44252</v>
      </c>
      <c r="I18" s="46">
        <f t="shared" si="1"/>
        <v>0</v>
      </c>
      <c r="J18" s="46">
        <f t="shared" si="2"/>
        <v>0</v>
      </c>
      <c r="K18" s="46">
        <f t="shared" si="3"/>
        <v>0</v>
      </c>
      <c r="L18" s="46">
        <f t="shared" si="7"/>
        <v>8571263</v>
      </c>
      <c r="M18" s="34">
        <f t="shared" si="4"/>
        <v>0</v>
      </c>
      <c r="N18" s="45">
        <f t="shared" si="5"/>
        <v>0</v>
      </c>
      <c r="O18" s="31"/>
      <c r="P18" s="276"/>
      <c r="Q18" s="277"/>
      <c r="R18" s="278"/>
      <c r="S18" s="31"/>
    </row>
    <row r="19" spans="1:19" ht="15.75" customHeight="1" x14ac:dyDescent="0.25">
      <c r="A19" s="19"/>
      <c r="B19" s="250" t="s">
        <v>33</v>
      </c>
      <c r="C19" s="251"/>
      <c r="D19" s="236">
        <f>IF(+(D13+(D10/10000))&gt;D12,D12,IF(+D13+(D10/10000)&lt;D11,D11,(+D13+(D10/10000))))</f>
        <v>0.33749999999999997</v>
      </c>
      <c r="E19" s="33"/>
      <c r="F19" s="41">
        <f t="shared" si="6"/>
        <v>269</v>
      </c>
      <c r="G19" s="17">
        <v>30</v>
      </c>
      <c r="H19" s="42">
        <f>+D47</f>
        <v>44280</v>
      </c>
      <c r="I19" s="43">
        <f>+K47</f>
        <v>0</v>
      </c>
      <c r="J19" s="43">
        <f t="shared" si="2"/>
        <v>0</v>
      </c>
      <c r="K19" s="43">
        <f t="shared" si="3"/>
        <v>0</v>
      </c>
      <c r="L19" s="43">
        <f t="shared" si="7"/>
        <v>8571263</v>
      </c>
      <c r="M19" s="44">
        <f t="shared" si="4"/>
        <v>0</v>
      </c>
      <c r="N19" s="45">
        <f t="shared" si="5"/>
        <v>0</v>
      </c>
      <c r="O19" s="31"/>
      <c r="P19" s="276"/>
      <c r="Q19" s="277"/>
      <c r="R19" s="278"/>
      <c r="S19" s="31"/>
    </row>
    <row r="20" spans="1:19" ht="15.75" customHeight="1" x14ac:dyDescent="0.25">
      <c r="A20" s="19"/>
      <c r="B20" s="250" t="s">
        <v>38</v>
      </c>
      <c r="C20" s="251"/>
      <c r="D20" s="239">
        <f>+XIRR(M10:M22,H10:H22,)</f>
        <v>0.33849259018898015</v>
      </c>
      <c r="E20" s="33"/>
      <c r="F20" s="41">
        <f t="shared" si="6"/>
        <v>301</v>
      </c>
      <c r="G20" s="17">
        <v>30</v>
      </c>
      <c r="H20" s="42">
        <f>+D48</f>
        <v>44312</v>
      </c>
      <c r="I20" s="46">
        <f>+K48</f>
        <v>0</v>
      </c>
      <c r="J20" s="46">
        <f t="shared" si="2"/>
        <v>0</v>
      </c>
      <c r="K20" s="46">
        <f t="shared" si="3"/>
        <v>0</v>
      </c>
      <c r="L20" s="46">
        <f t="shared" si="7"/>
        <v>8571263</v>
      </c>
      <c r="M20" s="34">
        <f t="shared" si="4"/>
        <v>0</v>
      </c>
      <c r="N20" s="45">
        <f t="shared" si="5"/>
        <v>0</v>
      </c>
      <c r="O20" s="31"/>
      <c r="P20" s="276"/>
      <c r="Q20" s="277"/>
      <c r="R20" s="278"/>
      <c r="S20" s="31"/>
    </row>
    <row r="21" spans="1:19" ht="15.75" customHeight="1" x14ac:dyDescent="0.25">
      <c r="A21" s="19"/>
      <c r="B21" s="250" t="s">
        <v>39</v>
      </c>
      <c r="C21" s="251"/>
      <c r="D21" s="236">
        <f>+((D20+1)^(0.0833333333333333)-1)*12</f>
        <v>0.29511448490753622</v>
      </c>
      <c r="E21" s="33"/>
      <c r="F21" s="41">
        <f t="shared" si="6"/>
        <v>331</v>
      </c>
      <c r="G21" s="17">
        <v>30</v>
      </c>
      <c r="H21" s="42">
        <f>+D49</f>
        <v>44342</v>
      </c>
      <c r="I21" s="43">
        <f>+K49</f>
        <v>6709773</v>
      </c>
      <c r="J21" s="43">
        <f t="shared" si="2"/>
        <v>2639186</v>
      </c>
      <c r="K21" s="43">
        <f t="shared" si="3"/>
        <v>4285632</v>
      </c>
      <c r="L21" s="43">
        <f t="shared" si="7"/>
        <v>4285631</v>
      </c>
      <c r="M21" s="44">
        <f t="shared" si="4"/>
        <v>6924818</v>
      </c>
      <c r="N21" s="45">
        <f t="shared" si="5"/>
        <v>5252431.9392730631</v>
      </c>
      <c r="O21" s="31"/>
      <c r="P21" s="276"/>
      <c r="Q21" s="277"/>
      <c r="R21" s="278"/>
      <c r="S21" s="31"/>
    </row>
    <row r="22" spans="1:19" ht="15.75" customHeight="1" x14ac:dyDescent="0.25">
      <c r="A22" s="19"/>
      <c r="B22" s="250" t="s">
        <v>43</v>
      </c>
      <c r="C22" s="251"/>
      <c r="D22" s="240">
        <f>+AG58</f>
        <v>11.416361377237312</v>
      </c>
      <c r="E22" s="33"/>
      <c r="F22" s="41">
        <f>+(H22-$D$38)</f>
        <v>361</v>
      </c>
      <c r="G22" s="17">
        <v>30</v>
      </c>
      <c r="H22" s="42">
        <f>+D50</f>
        <v>44372</v>
      </c>
      <c r="I22" s="46">
        <f>+K50</f>
        <v>4394828</v>
      </c>
      <c r="J22" s="46">
        <f t="shared" si="2"/>
        <v>118882</v>
      </c>
      <c r="K22" s="46">
        <f t="shared" si="3"/>
        <v>4285632</v>
      </c>
      <c r="L22" s="46">
        <f t="shared" si="7"/>
        <v>0</v>
      </c>
      <c r="M22" s="34">
        <f t="shared" si="4"/>
        <v>4404514</v>
      </c>
      <c r="N22" s="45">
        <f t="shared" si="5"/>
        <v>3364772.8573263166</v>
      </c>
      <c r="O22" s="31"/>
      <c r="P22" s="276"/>
      <c r="Q22" s="277"/>
      <c r="R22" s="278"/>
      <c r="S22" s="31"/>
    </row>
    <row r="23" spans="1:19" ht="15.75" customHeight="1" x14ac:dyDescent="0.25">
      <c r="A23" s="19"/>
      <c r="B23" s="289" t="s">
        <v>60</v>
      </c>
      <c r="C23" s="290"/>
      <c r="D23" s="241" t="s">
        <v>62</v>
      </c>
      <c r="E23" s="47"/>
      <c r="F23" s="189"/>
      <c r="G23" s="190"/>
      <c r="H23" s="191" t="s">
        <v>5</v>
      </c>
      <c r="I23" s="192"/>
      <c r="J23" s="51">
        <f>+SUM(J11:J22)</f>
        <v>2758068</v>
      </c>
      <c r="K23" s="51">
        <f>+SUM(K10:K22)</f>
        <v>8571264</v>
      </c>
      <c r="L23" s="51"/>
      <c r="M23" s="52">
        <f>+J23+K23</f>
        <v>11329332</v>
      </c>
      <c r="N23" s="193">
        <f>J51/(1+$D$14)^(F23/365)</f>
        <v>0</v>
      </c>
      <c r="O23" s="31"/>
      <c r="P23" s="276"/>
      <c r="Q23" s="277"/>
      <c r="R23" s="278"/>
      <c r="S23" s="31"/>
    </row>
    <row r="24" spans="1:19" ht="15.75" customHeight="1" x14ac:dyDescent="0.25">
      <c r="A24" s="19"/>
      <c r="B24" s="19"/>
      <c r="C24" s="19"/>
      <c r="D24" s="19"/>
      <c r="E24" s="31"/>
      <c r="F24" s="19"/>
      <c r="G24" s="19"/>
      <c r="H24" s="19"/>
      <c r="I24" s="19"/>
      <c r="J24" s="19"/>
      <c r="K24" s="19"/>
      <c r="L24" s="19"/>
      <c r="M24" s="19"/>
      <c r="N24" s="19"/>
      <c r="O24" s="31"/>
      <c r="P24" s="276"/>
      <c r="Q24" s="277"/>
      <c r="R24" s="278"/>
      <c r="S24" s="31"/>
    </row>
    <row r="25" spans="1:19" ht="15.75" customHeight="1" x14ac:dyDescent="0.25">
      <c r="A25" s="19"/>
      <c r="B25" s="19"/>
      <c r="C25" s="19"/>
      <c r="D25" s="19"/>
      <c r="E25" s="31"/>
      <c r="F25" s="19"/>
      <c r="G25" s="19"/>
      <c r="H25" s="19"/>
      <c r="I25" s="19"/>
      <c r="J25" s="19"/>
      <c r="K25" s="19"/>
      <c r="L25" s="19"/>
      <c r="M25" s="19"/>
      <c r="N25" s="19"/>
      <c r="O25" s="31"/>
      <c r="P25" s="279"/>
      <c r="Q25" s="280"/>
      <c r="R25" s="281"/>
      <c r="S25" s="31"/>
    </row>
    <row r="26" spans="1:19" ht="15.75" customHeight="1" x14ac:dyDescent="0.25">
      <c r="A26" s="19"/>
      <c r="B26" s="19"/>
      <c r="C26" s="19"/>
      <c r="D26" s="19"/>
      <c r="E26" s="31"/>
      <c r="F26" s="19"/>
      <c r="G26" s="31"/>
      <c r="H26" s="194"/>
      <c r="I26" s="31"/>
      <c r="J26" s="195"/>
      <c r="K26" s="195"/>
      <c r="L26" s="195"/>
      <c r="M26" s="195"/>
      <c r="N26" s="196"/>
      <c r="O26" s="31"/>
      <c r="P26" s="19"/>
      <c r="Q26" s="19"/>
      <c r="R26" s="19"/>
      <c r="S26" s="31"/>
    </row>
    <row r="27" spans="1:19" ht="15.75" hidden="1" customHeight="1" x14ac:dyDescent="0.25">
      <c r="A27" s="19"/>
      <c r="B27" s="19"/>
      <c r="C27" s="19"/>
      <c r="D27" s="19"/>
      <c r="E27" s="31"/>
      <c r="F27" s="19"/>
      <c r="G27" s="19"/>
      <c r="H27" s="19"/>
      <c r="I27" s="19"/>
      <c r="J27" s="19"/>
      <c r="K27" s="19"/>
      <c r="L27" s="19"/>
      <c r="M27" s="19"/>
      <c r="N27" s="196"/>
      <c r="O27" s="31"/>
      <c r="P27" s="19"/>
      <c r="Q27" s="19"/>
      <c r="R27" s="19"/>
      <c r="S27" s="31"/>
    </row>
    <row r="28" spans="1:19" ht="15.75" hidden="1" x14ac:dyDescent="0.25">
      <c r="A28" s="19"/>
      <c r="B28" s="19"/>
      <c r="C28" s="19"/>
      <c r="D28" s="19"/>
      <c r="E28" s="31"/>
      <c r="F28" s="19"/>
      <c r="G28" s="19"/>
      <c r="H28" s="19"/>
      <c r="I28" s="19"/>
      <c r="J28" s="19"/>
      <c r="K28" s="19"/>
      <c r="L28" s="19"/>
      <c r="M28" s="19"/>
      <c r="N28" s="197"/>
      <c r="O28" s="31"/>
      <c r="P28" s="19"/>
      <c r="Q28" s="19"/>
      <c r="R28" s="19"/>
      <c r="S28" s="31"/>
    </row>
    <row r="29" spans="1:19" ht="15.75" hidden="1" customHeight="1" x14ac:dyDescent="0.25">
      <c r="A29" s="19"/>
      <c r="B29" s="19"/>
      <c r="C29" s="19"/>
      <c r="D29" s="19"/>
      <c r="E29" s="31"/>
      <c r="F29" s="31"/>
      <c r="G29" s="31"/>
      <c r="H29" s="194"/>
      <c r="I29" s="31"/>
      <c r="J29" s="195"/>
      <c r="K29" s="195"/>
      <c r="L29" s="195"/>
      <c r="M29" s="195"/>
      <c r="N29" s="31"/>
      <c r="O29" s="31"/>
      <c r="P29" s="19"/>
      <c r="Q29" s="19"/>
      <c r="R29" s="19"/>
      <c r="S29" s="31"/>
    </row>
    <row r="30" spans="1:19" ht="15" hidden="1" customHeight="1" thickBot="1" x14ac:dyDescent="0.3">
      <c r="A30" s="19"/>
      <c r="B30" s="19"/>
      <c r="C30" s="54"/>
      <c r="D30" s="19"/>
      <c r="E30" s="19"/>
      <c r="F30" s="19"/>
      <c r="G30" s="19"/>
      <c r="H30" s="19"/>
      <c r="I30" s="19"/>
      <c r="J30" s="19"/>
      <c r="K30" s="19"/>
      <c r="L30" s="19"/>
      <c r="M30" s="19"/>
      <c r="N30" s="57"/>
      <c r="O30" s="19"/>
      <c r="P30" s="19"/>
      <c r="Q30" s="19"/>
      <c r="R30" s="19"/>
      <c r="S30" s="19"/>
    </row>
    <row r="31" spans="1:19" ht="15" hidden="1" customHeight="1" thickBot="1" x14ac:dyDescent="0.35">
      <c r="A31" s="55"/>
      <c r="B31" s="56" t="s">
        <v>12</v>
      </c>
      <c r="C31" s="54"/>
      <c r="D31" s="19"/>
      <c r="E31" s="19"/>
      <c r="F31" s="19"/>
      <c r="G31" s="19"/>
      <c r="H31" s="19"/>
      <c r="I31" s="19"/>
      <c r="J31" s="19"/>
      <c r="K31" s="19"/>
      <c r="L31" s="19"/>
      <c r="M31" s="19"/>
      <c r="N31" s="57"/>
      <c r="O31" s="19"/>
      <c r="P31" s="19"/>
      <c r="Q31" s="19"/>
      <c r="R31" s="81"/>
      <c r="S31" s="58"/>
    </row>
    <row r="32" spans="1:19" ht="15.75" hidden="1" customHeight="1" thickBot="1" x14ac:dyDescent="0.3">
      <c r="A32" s="55"/>
      <c r="B32" s="59">
        <f>D21-D13</f>
        <v>-2.3855150924637636E-3</v>
      </c>
      <c r="C32" s="54"/>
      <c r="D32" s="19"/>
      <c r="E32" s="19"/>
      <c r="F32" s="19"/>
      <c r="G32" s="19"/>
      <c r="H32" s="19"/>
      <c r="I32" s="19"/>
      <c r="J32" s="19"/>
      <c r="K32" s="19"/>
      <c r="L32" s="19"/>
      <c r="M32" s="19"/>
      <c r="N32" s="19"/>
      <c r="O32" s="19"/>
      <c r="P32" s="19"/>
      <c r="Q32" s="19"/>
      <c r="R32" s="81"/>
      <c r="S32" s="58"/>
    </row>
    <row r="33" spans="1:34" ht="17.25" hidden="1" customHeight="1" thickBot="1" x14ac:dyDescent="0.35">
      <c r="A33" s="55"/>
      <c r="B33" s="13" t="s">
        <v>58</v>
      </c>
      <c r="C33" s="13" t="s">
        <v>13</v>
      </c>
      <c r="D33" s="60" t="s">
        <v>64</v>
      </c>
      <c r="E33" s="60"/>
      <c r="F33" s="261" t="s">
        <v>3</v>
      </c>
      <c r="G33" s="262"/>
      <c r="H33" s="263"/>
      <c r="I33" s="263"/>
      <c r="J33" s="263"/>
      <c r="K33" s="309" t="s">
        <v>4</v>
      </c>
      <c r="L33" s="310"/>
      <c r="M33" s="310"/>
      <c r="N33" s="310"/>
      <c r="O33" s="310"/>
      <c r="P33" s="311"/>
      <c r="Q33" s="61"/>
      <c r="R33" s="81"/>
      <c r="S33" s="58"/>
    </row>
    <row r="34" spans="1:34" ht="17.25" hidden="1" customHeight="1" thickBot="1" x14ac:dyDescent="0.35">
      <c r="A34" s="55"/>
      <c r="B34" s="62">
        <v>400</v>
      </c>
      <c r="C34" s="62">
        <v>365</v>
      </c>
      <c r="D34" s="60" t="s">
        <v>10</v>
      </c>
      <c r="E34" s="60"/>
      <c r="F34" s="63"/>
      <c r="G34" s="63"/>
      <c r="H34" s="64"/>
      <c r="I34" s="65"/>
      <c r="J34" s="66">
        <f>XIRR(J38:J57,$D$38:$D$57,0.2)</f>
        <v>0.31747950911521916</v>
      </c>
      <c r="K34" s="67"/>
      <c r="L34" s="64"/>
      <c r="M34" s="64"/>
      <c r="N34" s="60" t="s">
        <v>10</v>
      </c>
      <c r="O34" s="68">
        <f>XIRR(O38:O57,D38:D57,0.2)</f>
        <v>0.33849259018898015</v>
      </c>
      <c r="P34" s="69"/>
      <c r="Q34" s="61"/>
      <c r="R34" s="81"/>
      <c r="S34" s="58"/>
      <c r="U34" s="70" t="s">
        <v>22</v>
      </c>
      <c r="V34" s="71">
        <f>+$D$38</f>
        <v>44011</v>
      </c>
      <c r="W34" s="72"/>
      <c r="X34" s="245" t="s">
        <v>53</v>
      </c>
      <c r="Y34" s="246"/>
      <c r="Z34" s="247"/>
      <c r="AA34" s="73"/>
      <c r="AB34" s="70" t="s">
        <v>22</v>
      </c>
      <c r="AC34" s="71">
        <f>+V34</f>
        <v>44011</v>
      </c>
      <c r="AD34" s="72"/>
      <c r="AE34" s="245" t="s">
        <v>54</v>
      </c>
      <c r="AF34" s="246"/>
      <c r="AG34" s="247"/>
      <c r="AH34" s="74"/>
    </row>
    <row r="35" spans="1:34" ht="17.25" hidden="1" customHeight="1" thickBot="1" x14ac:dyDescent="0.35">
      <c r="A35" s="55"/>
      <c r="B35" s="75"/>
      <c r="C35" s="14" t="s">
        <v>14</v>
      </c>
      <c r="D35" s="198">
        <f>+D8</f>
        <v>44009</v>
      </c>
      <c r="E35" s="128"/>
      <c r="F35" s="78" t="s">
        <v>11</v>
      </c>
      <c r="G35" s="78"/>
      <c r="H35" s="5">
        <f>C36</f>
        <v>0.31</v>
      </c>
      <c r="I35" s="79"/>
      <c r="J35" s="19"/>
      <c r="K35" s="55"/>
      <c r="L35" s="3">
        <f>D19</f>
        <v>0.33749999999999997</v>
      </c>
      <c r="M35" s="19"/>
      <c r="N35" s="78" t="s">
        <v>11</v>
      </c>
      <c r="O35" s="80">
        <f>+((O34+1)^(0.0833333333333333)-1)*12</f>
        <v>0.29511448490753622</v>
      </c>
      <c r="P35" s="81"/>
      <c r="Q35" s="139"/>
      <c r="R35" s="81"/>
      <c r="S35" s="58"/>
      <c r="U35" s="6"/>
      <c r="V35" s="1"/>
      <c r="W35" s="1"/>
      <c r="X35" s="2"/>
      <c r="Y35" s="85"/>
      <c r="Z35" s="86"/>
      <c r="AA35" s="23"/>
      <c r="AB35" s="6"/>
      <c r="AC35" s="1"/>
      <c r="AD35" s="1"/>
      <c r="AE35" s="2"/>
      <c r="AF35" s="85"/>
      <c r="AG35" s="86"/>
      <c r="AH35" s="87"/>
    </row>
    <row r="36" spans="1:34" ht="17.25" hidden="1" customHeight="1" thickBot="1" x14ac:dyDescent="0.35">
      <c r="A36" s="55"/>
      <c r="B36" s="14" t="s">
        <v>24</v>
      </c>
      <c r="C36" s="88">
        <v>0.31</v>
      </c>
      <c r="D36" s="252" t="s">
        <v>0</v>
      </c>
      <c r="E36" s="199"/>
      <c r="F36" s="315" t="s">
        <v>57</v>
      </c>
      <c r="G36" s="252" t="s">
        <v>56</v>
      </c>
      <c r="H36" s="254" t="s">
        <v>6</v>
      </c>
      <c r="I36" s="259" t="s">
        <v>7</v>
      </c>
      <c r="J36" s="267" t="s">
        <v>2</v>
      </c>
      <c r="K36" s="269" t="s">
        <v>9</v>
      </c>
      <c r="L36" s="90" t="s">
        <v>6</v>
      </c>
      <c r="M36" s="91" t="s">
        <v>8</v>
      </c>
      <c r="N36" s="256" t="s">
        <v>1</v>
      </c>
      <c r="O36" s="256" t="s">
        <v>2</v>
      </c>
      <c r="P36" s="306"/>
      <c r="Q36" s="139"/>
      <c r="R36" s="81"/>
      <c r="S36" s="58"/>
      <c r="U36" s="92" t="s">
        <v>16</v>
      </c>
      <c r="V36" s="93">
        <f>+H35</f>
        <v>0.31</v>
      </c>
      <c r="W36" s="94"/>
      <c r="X36" s="94" t="s">
        <v>17</v>
      </c>
      <c r="Y36" s="95">
        <f>+F38</f>
        <v>8571263</v>
      </c>
      <c r="Z36" s="96"/>
      <c r="AA36" s="96"/>
      <c r="AB36" s="92" t="s">
        <v>16</v>
      </c>
      <c r="AC36" s="93">
        <f>+L35</f>
        <v>0.33749999999999997</v>
      </c>
      <c r="AD36" s="94"/>
      <c r="AE36" s="94" t="s">
        <v>17</v>
      </c>
      <c r="AF36" s="95">
        <f>+N38</f>
        <v>8571263</v>
      </c>
      <c r="AG36" s="96"/>
      <c r="AH36" s="97"/>
    </row>
    <row r="37" spans="1:34" ht="15.75" hidden="1" customHeight="1" thickBot="1" x14ac:dyDescent="0.3">
      <c r="A37" s="55"/>
      <c r="B37" s="14" t="s">
        <v>25</v>
      </c>
      <c r="C37" s="88">
        <v>0.41</v>
      </c>
      <c r="D37" s="260"/>
      <c r="E37" s="200"/>
      <c r="F37" s="316"/>
      <c r="G37" s="258"/>
      <c r="H37" s="253"/>
      <c r="I37" s="253"/>
      <c r="J37" s="314"/>
      <c r="K37" s="308"/>
      <c r="L37" s="201"/>
      <c r="M37" s="98"/>
      <c r="N37" s="312"/>
      <c r="O37" s="312"/>
      <c r="P37" s="313"/>
      <c r="Q37" s="202"/>
      <c r="R37" s="81"/>
      <c r="S37" s="58"/>
      <c r="U37" s="101" t="s">
        <v>0</v>
      </c>
      <c r="V37" s="102" t="s">
        <v>18</v>
      </c>
      <c r="W37" s="103"/>
      <c r="X37" s="103" t="s">
        <v>19</v>
      </c>
      <c r="Y37" s="104"/>
      <c r="Z37" s="103"/>
      <c r="AA37" s="103"/>
      <c r="AB37" s="101" t="s">
        <v>0</v>
      </c>
      <c r="AC37" s="102" t="s">
        <v>18</v>
      </c>
      <c r="AD37" s="103"/>
      <c r="AE37" s="103" t="s">
        <v>19</v>
      </c>
      <c r="AF37" s="104"/>
      <c r="AG37" s="103"/>
      <c r="AH37" s="105"/>
    </row>
    <row r="38" spans="1:34" ht="17.25" hidden="1" customHeight="1" thickBot="1" x14ac:dyDescent="0.35">
      <c r="A38" s="55"/>
      <c r="B38" s="106" t="s">
        <v>15</v>
      </c>
      <c r="C38" s="107" t="s">
        <v>26</v>
      </c>
      <c r="D38" s="203">
        <f>+D7</f>
        <v>44011</v>
      </c>
      <c r="E38" s="128"/>
      <c r="F38" s="204">
        <f>+D9</f>
        <v>8571263</v>
      </c>
      <c r="G38" s="110"/>
      <c r="H38" s="111">
        <v>0</v>
      </c>
      <c r="I38" s="112">
        <v>0</v>
      </c>
      <c r="J38" s="205">
        <f>-F38</f>
        <v>-8571263</v>
      </c>
      <c r="K38" s="206"/>
      <c r="L38" s="207"/>
      <c r="M38" s="131"/>
      <c r="N38" s="131">
        <f>F38</f>
        <v>8571263</v>
      </c>
      <c r="O38" s="131">
        <f>J38*D17</f>
        <v>-8617204.7965993807</v>
      </c>
      <c r="P38" s="208"/>
      <c r="Q38" s="139"/>
      <c r="R38" s="81"/>
      <c r="S38" s="58"/>
      <c r="U38" s="121"/>
      <c r="V38" s="122"/>
      <c r="W38" s="123"/>
      <c r="X38" s="124"/>
      <c r="Y38" s="125"/>
      <c r="Z38" s="126"/>
      <c r="AA38" s="96"/>
      <c r="AB38" s="121"/>
      <c r="AC38" s="122"/>
      <c r="AD38" s="123"/>
      <c r="AE38" s="124"/>
      <c r="AF38" s="125"/>
      <c r="AG38" s="126"/>
      <c r="AH38" s="97"/>
    </row>
    <row r="39" spans="1:34" ht="17.25" hidden="1" customHeight="1" x14ac:dyDescent="0.3">
      <c r="A39" s="55"/>
      <c r="B39" s="209"/>
      <c r="C39" s="4"/>
      <c r="D39" s="7">
        <v>44039</v>
      </c>
      <c r="E39" s="128"/>
      <c r="F39" s="210">
        <f>F38-I39</f>
        <v>8571263</v>
      </c>
      <c r="G39" s="15"/>
      <c r="H39" s="211"/>
      <c r="I39" s="130"/>
      <c r="J39" s="131">
        <f>H39+I39</f>
        <v>0</v>
      </c>
      <c r="K39" s="113">
        <f>J39</f>
        <v>0</v>
      </c>
      <c r="L39" s="132">
        <f>ROUND((N38*B39*$L$35/$C$34),0)</f>
        <v>0</v>
      </c>
      <c r="M39" s="117">
        <f t="shared" ref="M39:M52" si="8">+I39</f>
        <v>0</v>
      </c>
      <c r="N39" s="117">
        <f>IF((N38-M39)&lt;0,0,(N38-M39))</f>
        <v>8571263</v>
      </c>
      <c r="O39" s="117">
        <f t="shared" ref="O39:O52" si="9">L39+M39</f>
        <v>0</v>
      </c>
      <c r="P39" s="133"/>
      <c r="Q39" s="139"/>
      <c r="R39" s="81"/>
      <c r="S39" s="58"/>
      <c r="U39" s="121">
        <f t="shared" ref="U39:U53" si="10">+D39</f>
        <v>44039</v>
      </c>
      <c r="V39" s="122">
        <f>+J39</f>
        <v>0</v>
      </c>
      <c r="W39" s="123">
        <f t="shared" ref="W39:W50" si="11">+(U39-$V$34)/360</f>
        <v>7.7777777777777779E-2</v>
      </c>
      <c r="X39" s="124">
        <f>+V39/$AC$57*W39</f>
        <v>0</v>
      </c>
      <c r="Y39" s="125">
        <f>+V39/(1+$H$35)^W39</f>
        <v>0</v>
      </c>
      <c r="Z39" s="126">
        <f>+Y39/$AF$57*W39</f>
        <v>0</v>
      </c>
      <c r="AA39" s="96"/>
      <c r="AB39" s="121">
        <f>+U39</f>
        <v>44039</v>
      </c>
      <c r="AC39" s="122">
        <f t="shared" ref="AC39:AC53" si="12">+O39</f>
        <v>0</v>
      </c>
      <c r="AD39" s="123">
        <f t="shared" ref="AD39:AD50" si="13">+(AB39-$V$34)/360</f>
        <v>7.7777777777777779E-2</v>
      </c>
      <c r="AE39" s="124">
        <f t="shared" ref="AE39:AE56" si="14">+AC39/$AC$57*AD39</f>
        <v>0</v>
      </c>
      <c r="AF39" s="125">
        <f>+AC39/(1+$L$35)^AD39</f>
        <v>0</v>
      </c>
      <c r="AG39" s="126">
        <f t="shared" ref="AG39:AG56" si="15">+AF39/$AF$57*AD39</f>
        <v>0</v>
      </c>
      <c r="AH39" s="97"/>
    </row>
    <row r="40" spans="1:34" ht="16.5" hidden="1" customHeight="1" x14ac:dyDescent="0.3">
      <c r="A40" s="55"/>
      <c r="B40" s="209"/>
      <c r="C40" s="4"/>
      <c r="D40" s="7">
        <v>44068</v>
      </c>
      <c r="E40" s="134"/>
      <c r="F40" s="212">
        <f>F39-I40</f>
        <v>8571263</v>
      </c>
      <c r="G40" s="15"/>
      <c r="H40" s="211"/>
      <c r="I40" s="135"/>
      <c r="J40" s="117">
        <f t="shared" ref="J40:J52" si="16">H40+I40</f>
        <v>0</v>
      </c>
      <c r="K40" s="113">
        <f t="shared" ref="K40:K55" si="17">J40</f>
        <v>0</v>
      </c>
      <c r="L40" s="132">
        <f t="shared" ref="L40:L56" si="18">ROUND((N39*B40*$L$35/$C$34),0)</f>
        <v>0</v>
      </c>
      <c r="M40" s="117">
        <f t="shared" si="8"/>
        <v>0</v>
      </c>
      <c r="N40" s="117">
        <f t="shared" ref="N40:N52" si="19">IF((N39-M40)&lt;0,0,(N39-M40))</f>
        <v>8571263</v>
      </c>
      <c r="O40" s="117">
        <f t="shared" si="9"/>
        <v>0</v>
      </c>
      <c r="P40" s="133"/>
      <c r="Q40" s="139"/>
      <c r="R40" s="81"/>
      <c r="S40" s="58"/>
      <c r="U40" s="121">
        <f t="shared" si="10"/>
        <v>44068</v>
      </c>
      <c r="V40" s="122">
        <f t="shared" ref="V40:V53" si="20">+J40</f>
        <v>0</v>
      </c>
      <c r="W40" s="123">
        <f t="shared" si="11"/>
        <v>0.15833333333333333</v>
      </c>
      <c r="X40" s="124">
        <f t="shared" ref="X40:X53" si="21">+V40/$AC$57*W40</f>
        <v>0</v>
      </c>
      <c r="Y40" s="125">
        <f t="shared" ref="Y40:Y53" si="22">+V40/(1+$H$35)^W40</f>
        <v>0</v>
      </c>
      <c r="Z40" s="126">
        <f t="shared" ref="Z40:Z52" si="23">+Y40/$AF$57*W40</f>
        <v>0</v>
      </c>
      <c r="AA40" s="96"/>
      <c r="AB40" s="121">
        <f t="shared" ref="AB40:AB53" si="24">+U40</f>
        <v>44068</v>
      </c>
      <c r="AC40" s="122">
        <f t="shared" si="12"/>
        <v>0</v>
      </c>
      <c r="AD40" s="123">
        <f t="shared" si="13"/>
        <v>0.15833333333333333</v>
      </c>
      <c r="AE40" s="124">
        <f t="shared" si="14"/>
        <v>0</v>
      </c>
      <c r="AF40" s="125">
        <f t="shared" ref="AF40:AF53" si="25">+AC40/(1+$L$35)^AD40</f>
        <v>0</v>
      </c>
      <c r="AG40" s="126">
        <f t="shared" si="15"/>
        <v>0</v>
      </c>
      <c r="AH40" s="97"/>
    </row>
    <row r="41" spans="1:34" ht="17.25" hidden="1" customHeight="1" x14ac:dyDescent="0.3">
      <c r="A41" s="55"/>
      <c r="B41" s="209"/>
      <c r="C41" s="4"/>
      <c r="D41" s="7">
        <v>44099</v>
      </c>
      <c r="E41" s="134"/>
      <c r="F41" s="212">
        <f t="shared" ref="F41:F52" si="26">F40-I41</f>
        <v>8571263</v>
      </c>
      <c r="G41" s="15"/>
      <c r="H41" s="211"/>
      <c r="I41" s="135"/>
      <c r="J41" s="117">
        <f t="shared" si="16"/>
        <v>0</v>
      </c>
      <c r="K41" s="113">
        <f t="shared" si="17"/>
        <v>0</v>
      </c>
      <c r="L41" s="132">
        <f t="shared" si="18"/>
        <v>0</v>
      </c>
      <c r="M41" s="117">
        <f t="shared" si="8"/>
        <v>0</v>
      </c>
      <c r="N41" s="117">
        <f t="shared" si="19"/>
        <v>8571263</v>
      </c>
      <c r="O41" s="117">
        <f t="shared" si="9"/>
        <v>0</v>
      </c>
      <c r="P41" s="133"/>
      <c r="Q41" s="139"/>
      <c r="R41" s="81"/>
      <c r="S41" s="58"/>
      <c r="U41" s="121">
        <f t="shared" si="10"/>
        <v>44099</v>
      </c>
      <c r="V41" s="122">
        <f t="shared" si="20"/>
        <v>0</v>
      </c>
      <c r="W41" s="123">
        <f t="shared" si="11"/>
        <v>0.24444444444444444</v>
      </c>
      <c r="X41" s="124">
        <f t="shared" si="21"/>
        <v>0</v>
      </c>
      <c r="Y41" s="125">
        <f t="shared" si="22"/>
        <v>0</v>
      </c>
      <c r="Z41" s="126">
        <f t="shared" si="23"/>
        <v>0</v>
      </c>
      <c r="AA41" s="96"/>
      <c r="AB41" s="121">
        <f t="shared" si="24"/>
        <v>44099</v>
      </c>
      <c r="AC41" s="122">
        <f t="shared" si="12"/>
        <v>0</v>
      </c>
      <c r="AD41" s="123">
        <f t="shared" si="13"/>
        <v>0.24444444444444444</v>
      </c>
      <c r="AE41" s="124">
        <f t="shared" si="14"/>
        <v>0</v>
      </c>
      <c r="AF41" s="125">
        <f t="shared" si="25"/>
        <v>0</v>
      </c>
      <c r="AG41" s="126">
        <f t="shared" si="15"/>
        <v>0</v>
      </c>
      <c r="AH41" s="97"/>
    </row>
    <row r="42" spans="1:34" ht="17.25" hidden="1" customHeight="1" x14ac:dyDescent="0.25">
      <c r="A42" s="55"/>
      <c r="B42" s="209"/>
      <c r="C42" s="4"/>
      <c r="D42" s="7">
        <v>44130</v>
      </c>
      <c r="E42" s="134"/>
      <c r="F42" s="212">
        <f t="shared" si="26"/>
        <v>8571263</v>
      </c>
      <c r="G42" s="15"/>
      <c r="H42" s="211"/>
      <c r="I42" s="135"/>
      <c r="J42" s="117">
        <f t="shared" si="16"/>
        <v>0</v>
      </c>
      <c r="K42" s="113">
        <f t="shared" si="17"/>
        <v>0</v>
      </c>
      <c r="L42" s="132">
        <f t="shared" si="18"/>
        <v>0</v>
      </c>
      <c r="M42" s="117">
        <f t="shared" si="8"/>
        <v>0</v>
      </c>
      <c r="N42" s="117">
        <f t="shared" si="19"/>
        <v>8571263</v>
      </c>
      <c r="O42" s="117">
        <f t="shared" si="9"/>
        <v>0</v>
      </c>
      <c r="P42" s="133"/>
      <c r="Q42" s="19"/>
      <c r="R42" s="81"/>
      <c r="S42" s="58"/>
      <c r="U42" s="121">
        <f t="shared" si="10"/>
        <v>44130</v>
      </c>
      <c r="V42" s="122">
        <f t="shared" si="20"/>
        <v>0</v>
      </c>
      <c r="W42" s="123">
        <f t="shared" si="11"/>
        <v>0.33055555555555555</v>
      </c>
      <c r="X42" s="124">
        <f t="shared" si="21"/>
        <v>0</v>
      </c>
      <c r="Y42" s="125">
        <f t="shared" si="22"/>
        <v>0</v>
      </c>
      <c r="Z42" s="126">
        <f t="shared" si="23"/>
        <v>0</v>
      </c>
      <c r="AA42" s="96"/>
      <c r="AB42" s="121">
        <f t="shared" si="24"/>
        <v>44130</v>
      </c>
      <c r="AC42" s="122">
        <f t="shared" si="12"/>
        <v>0</v>
      </c>
      <c r="AD42" s="123">
        <f t="shared" si="13"/>
        <v>0.33055555555555555</v>
      </c>
      <c r="AE42" s="124">
        <f t="shared" si="14"/>
        <v>0</v>
      </c>
      <c r="AF42" s="125">
        <f t="shared" si="25"/>
        <v>0</v>
      </c>
      <c r="AG42" s="126">
        <f t="shared" si="15"/>
        <v>0</v>
      </c>
      <c r="AH42" s="97"/>
    </row>
    <row r="43" spans="1:34" ht="15.75" hidden="1" customHeight="1" x14ac:dyDescent="0.25">
      <c r="A43" s="55"/>
      <c r="B43" s="209"/>
      <c r="C43" s="4"/>
      <c r="D43" s="7">
        <v>44160</v>
      </c>
      <c r="E43" s="134"/>
      <c r="F43" s="212">
        <f t="shared" si="26"/>
        <v>8571263</v>
      </c>
      <c r="G43" s="15"/>
      <c r="H43" s="211"/>
      <c r="I43" s="135"/>
      <c r="J43" s="117">
        <f t="shared" si="16"/>
        <v>0</v>
      </c>
      <c r="K43" s="113">
        <f t="shared" si="17"/>
        <v>0</v>
      </c>
      <c r="L43" s="132">
        <f t="shared" si="18"/>
        <v>0</v>
      </c>
      <c r="M43" s="117">
        <f t="shared" si="8"/>
        <v>0</v>
      </c>
      <c r="N43" s="117">
        <f t="shared" si="19"/>
        <v>8571263</v>
      </c>
      <c r="O43" s="117">
        <f t="shared" si="9"/>
        <v>0</v>
      </c>
      <c r="P43" s="133"/>
      <c r="Q43" s="19"/>
      <c r="R43" s="81"/>
      <c r="S43" s="58"/>
      <c r="U43" s="121">
        <f t="shared" si="10"/>
        <v>44160</v>
      </c>
      <c r="V43" s="122">
        <f t="shared" si="20"/>
        <v>0</v>
      </c>
      <c r="W43" s="123">
        <f t="shared" si="11"/>
        <v>0.41388888888888886</v>
      </c>
      <c r="X43" s="124">
        <f t="shared" si="21"/>
        <v>0</v>
      </c>
      <c r="Y43" s="125">
        <f t="shared" si="22"/>
        <v>0</v>
      </c>
      <c r="Z43" s="126">
        <f t="shared" si="23"/>
        <v>0</v>
      </c>
      <c r="AA43" s="96"/>
      <c r="AB43" s="121">
        <f t="shared" si="24"/>
        <v>44160</v>
      </c>
      <c r="AC43" s="122">
        <f t="shared" si="12"/>
        <v>0</v>
      </c>
      <c r="AD43" s="123">
        <f t="shared" si="13"/>
        <v>0.41388888888888886</v>
      </c>
      <c r="AE43" s="124">
        <f t="shared" si="14"/>
        <v>0</v>
      </c>
      <c r="AF43" s="125">
        <f t="shared" si="25"/>
        <v>0</v>
      </c>
      <c r="AG43" s="126">
        <f t="shared" si="15"/>
        <v>0</v>
      </c>
      <c r="AH43" s="97"/>
    </row>
    <row r="44" spans="1:34" ht="17.25" hidden="1" customHeight="1" x14ac:dyDescent="0.25">
      <c r="A44" s="55"/>
      <c r="B44" s="209"/>
      <c r="C44" s="4"/>
      <c r="D44" s="7">
        <v>44193</v>
      </c>
      <c r="E44" s="134"/>
      <c r="F44" s="212">
        <f t="shared" si="26"/>
        <v>8571263</v>
      </c>
      <c r="G44" s="15"/>
      <c r="H44" s="211"/>
      <c r="I44" s="135"/>
      <c r="J44" s="117">
        <f t="shared" si="16"/>
        <v>0</v>
      </c>
      <c r="K44" s="113">
        <f t="shared" si="17"/>
        <v>0</v>
      </c>
      <c r="L44" s="132">
        <f t="shared" si="18"/>
        <v>0</v>
      </c>
      <c r="M44" s="117">
        <f t="shared" si="8"/>
        <v>0</v>
      </c>
      <c r="N44" s="117">
        <f t="shared" si="19"/>
        <v>8571263</v>
      </c>
      <c r="O44" s="117">
        <f t="shared" si="9"/>
        <v>0</v>
      </c>
      <c r="P44" s="133"/>
      <c r="Q44" s="19"/>
      <c r="R44" s="81"/>
      <c r="S44" s="58"/>
      <c r="U44" s="121">
        <f t="shared" si="10"/>
        <v>44193</v>
      </c>
      <c r="V44" s="122">
        <f t="shared" si="20"/>
        <v>0</v>
      </c>
      <c r="W44" s="123">
        <f t="shared" si="11"/>
        <v>0.50555555555555554</v>
      </c>
      <c r="X44" s="124">
        <f t="shared" si="21"/>
        <v>0</v>
      </c>
      <c r="Y44" s="125">
        <f t="shared" si="22"/>
        <v>0</v>
      </c>
      <c r="Z44" s="126">
        <f t="shared" si="23"/>
        <v>0</v>
      </c>
      <c r="AA44" s="96"/>
      <c r="AB44" s="121">
        <f t="shared" si="24"/>
        <v>44193</v>
      </c>
      <c r="AC44" s="122">
        <f t="shared" si="12"/>
        <v>0</v>
      </c>
      <c r="AD44" s="123">
        <f t="shared" si="13"/>
        <v>0.50555555555555554</v>
      </c>
      <c r="AE44" s="124">
        <f t="shared" si="14"/>
        <v>0</v>
      </c>
      <c r="AF44" s="125">
        <f t="shared" si="25"/>
        <v>0</v>
      </c>
      <c r="AG44" s="126">
        <f t="shared" si="15"/>
        <v>0</v>
      </c>
      <c r="AH44" s="97"/>
    </row>
    <row r="45" spans="1:34" ht="17.25" hidden="1" customHeight="1" x14ac:dyDescent="0.25">
      <c r="A45" s="55"/>
      <c r="B45" s="209"/>
      <c r="C45" s="4"/>
      <c r="D45" s="7">
        <v>44221</v>
      </c>
      <c r="E45" s="134"/>
      <c r="F45" s="212">
        <f t="shared" si="26"/>
        <v>8571263</v>
      </c>
      <c r="G45" s="15"/>
      <c r="H45" s="211"/>
      <c r="I45" s="135"/>
      <c r="J45" s="117">
        <f t="shared" si="16"/>
        <v>0</v>
      </c>
      <c r="K45" s="113">
        <f t="shared" si="17"/>
        <v>0</v>
      </c>
      <c r="L45" s="132">
        <f t="shared" si="18"/>
        <v>0</v>
      </c>
      <c r="M45" s="117">
        <f t="shared" si="8"/>
        <v>0</v>
      </c>
      <c r="N45" s="117">
        <f t="shared" si="19"/>
        <v>8571263</v>
      </c>
      <c r="O45" s="117">
        <f t="shared" si="9"/>
        <v>0</v>
      </c>
      <c r="P45" s="133"/>
      <c r="Q45" s="148"/>
      <c r="R45" s="81"/>
      <c r="S45" s="58"/>
      <c r="U45" s="121">
        <f t="shared" si="10"/>
        <v>44221</v>
      </c>
      <c r="V45" s="122">
        <f t="shared" si="20"/>
        <v>0</v>
      </c>
      <c r="W45" s="123">
        <f t="shared" si="11"/>
        <v>0.58333333333333337</v>
      </c>
      <c r="X45" s="124">
        <f t="shared" si="21"/>
        <v>0</v>
      </c>
      <c r="Y45" s="125">
        <f t="shared" si="22"/>
        <v>0</v>
      </c>
      <c r="Z45" s="126">
        <f t="shared" si="23"/>
        <v>0</v>
      </c>
      <c r="AA45" s="96"/>
      <c r="AB45" s="121">
        <f t="shared" si="24"/>
        <v>44221</v>
      </c>
      <c r="AC45" s="122">
        <f t="shared" si="12"/>
        <v>0</v>
      </c>
      <c r="AD45" s="123">
        <f t="shared" si="13"/>
        <v>0.58333333333333337</v>
      </c>
      <c r="AE45" s="124">
        <f t="shared" si="14"/>
        <v>0</v>
      </c>
      <c r="AF45" s="125">
        <f t="shared" si="25"/>
        <v>0</v>
      </c>
      <c r="AG45" s="126">
        <f t="shared" si="15"/>
        <v>0</v>
      </c>
      <c r="AH45" s="97"/>
    </row>
    <row r="46" spans="1:34" ht="17.25" hidden="1" customHeight="1" x14ac:dyDescent="0.3">
      <c r="A46" s="55"/>
      <c r="B46" s="209"/>
      <c r="C46" s="4"/>
      <c r="D46" s="7">
        <v>44252</v>
      </c>
      <c r="E46" s="134"/>
      <c r="F46" s="212">
        <f t="shared" si="26"/>
        <v>8571263</v>
      </c>
      <c r="G46" s="15"/>
      <c r="H46" s="211"/>
      <c r="I46" s="135"/>
      <c r="J46" s="117">
        <f t="shared" si="16"/>
        <v>0</v>
      </c>
      <c r="K46" s="113">
        <f t="shared" si="17"/>
        <v>0</v>
      </c>
      <c r="L46" s="132">
        <f t="shared" si="18"/>
        <v>0</v>
      </c>
      <c r="M46" s="117">
        <f t="shared" si="8"/>
        <v>0</v>
      </c>
      <c r="N46" s="117">
        <f t="shared" si="19"/>
        <v>8571263</v>
      </c>
      <c r="O46" s="117">
        <f t="shared" si="9"/>
        <v>0</v>
      </c>
      <c r="P46" s="133"/>
      <c r="Q46" s="139"/>
      <c r="R46" s="81"/>
      <c r="S46" s="58"/>
      <c r="U46" s="121">
        <f t="shared" si="10"/>
        <v>44252</v>
      </c>
      <c r="V46" s="122">
        <f t="shared" si="20"/>
        <v>0</v>
      </c>
      <c r="W46" s="123">
        <f t="shared" si="11"/>
        <v>0.6694444444444444</v>
      </c>
      <c r="X46" s="124">
        <f t="shared" si="21"/>
        <v>0</v>
      </c>
      <c r="Y46" s="125">
        <f t="shared" si="22"/>
        <v>0</v>
      </c>
      <c r="Z46" s="126">
        <f t="shared" si="23"/>
        <v>0</v>
      </c>
      <c r="AA46" s="96"/>
      <c r="AB46" s="121">
        <f t="shared" si="24"/>
        <v>44252</v>
      </c>
      <c r="AC46" s="122">
        <f t="shared" si="12"/>
        <v>0</v>
      </c>
      <c r="AD46" s="123">
        <f t="shared" si="13"/>
        <v>0.6694444444444444</v>
      </c>
      <c r="AE46" s="124">
        <f t="shared" si="14"/>
        <v>0</v>
      </c>
      <c r="AF46" s="125">
        <f t="shared" si="25"/>
        <v>0</v>
      </c>
      <c r="AG46" s="126">
        <f t="shared" si="15"/>
        <v>0</v>
      </c>
      <c r="AH46" s="97"/>
    </row>
    <row r="47" spans="1:34" ht="17.25" hidden="1" customHeight="1" x14ac:dyDescent="0.25">
      <c r="A47" s="55"/>
      <c r="B47" s="209"/>
      <c r="C47" s="4"/>
      <c r="D47" s="7">
        <v>44280</v>
      </c>
      <c r="E47" s="134"/>
      <c r="F47" s="212">
        <f t="shared" si="26"/>
        <v>8571263</v>
      </c>
      <c r="G47" s="15"/>
      <c r="H47" s="211"/>
      <c r="I47" s="135"/>
      <c r="J47" s="117">
        <f t="shared" si="16"/>
        <v>0</v>
      </c>
      <c r="K47" s="113">
        <f t="shared" si="17"/>
        <v>0</v>
      </c>
      <c r="L47" s="132">
        <f t="shared" si="18"/>
        <v>0</v>
      </c>
      <c r="M47" s="117">
        <f t="shared" si="8"/>
        <v>0</v>
      </c>
      <c r="N47" s="117">
        <f t="shared" si="19"/>
        <v>8571263</v>
      </c>
      <c r="O47" s="117">
        <f t="shared" si="9"/>
        <v>0</v>
      </c>
      <c r="P47" s="133"/>
      <c r="Q47" s="148"/>
      <c r="R47" s="81"/>
      <c r="S47" s="58"/>
      <c r="U47" s="121">
        <f t="shared" si="10"/>
        <v>44280</v>
      </c>
      <c r="V47" s="122">
        <f t="shared" si="20"/>
        <v>0</v>
      </c>
      <c r="W47" s="123">
        <f t="shared" si="11"/>
        <v>0.74722222222222223</v>
      </c>
      <c r="X47" s="124">
        <f t="shared" si="21"/>
        <v>0</v>
      </c>
      <c r="Y47" s="125">
        <f t="shared" si="22"/>
        <v>0</v>
      </c>
      <c r="Z47" s="126">
        <f t="shared" si="23"/>
        <v>0</v>
      </c>
      <c r="AA47" s="96"/>
      <c r="AB47" s="121">
        <f t="shared" si="24"/>
        <v>44280</v>
      </c>
      <c r="AC47" s="122">
        <f t="shared" si="12"/>
        <v>0</v>
      </c>
      <c r="AD47" s="123">
        <f t="shared" si="13"/>
        <v>0.74722222222222223</v>
      </c>
      <c r="AE47" s="124">
        <f t="shared" si="14"/>
        <v>0</v>
      </c>
      <c r="AF47" s="125">
        <f t="shared" si="25"/>
        <v>0</v>
      </c>
      <c r="AG47" s="126">
        <f t="shared" si="15"/>
        <v>0</v>
      </c>
      <c r="AH47" s="97"/>
    </row>
    <row r="48" spans="1:34" ht="17.25" hidden="1" customHeight="1" x14ac:dyDescent="0.3">
      <c r="A48" s="55"/>
      <c r="B48" s="209"/>
      <c r="C48" s="4"/>
      <c r="D48" s="7">
        <v>44312</v>
      </c>
      <c r="E48" s="134"/>
      <c r="F48" s="212">
        <f t="shared" si="26"/>
        <v>8571263</v>
      </c>
      <c r="G48" s="15"/>
      <c r="H48" s="211"/>
      <c r="I48" s="135"/>
      <c r="J48" s="117">
        <f t="shared" si="16"/>
        <v>0</v>
      </c>
      <c r="K48" s="113">
        <f t="shared" si="17"/>
        <v>0</v>
      </c>
      <c r="L48" s="132">
        <f t="shared" si="18"/>
        <v>0</v>
      </c>
      <c r="M48" s="117">
        <f t="shared" si="8"/>
        <v>0</v>
      </c>
      <c r="N48" s="117">
        <f t="shared" si="19"/>
        <v>8571263</v>
      </c>
      <c r="O48" s="117">
        <f t="shared" si="9"/>
        <v>0</v>
      </c>
      <c r="P48" s="133"/>
      <c r="Q48" s="139"/>
      <c r="R48" s="81"/>
      <c r="S48" s="58"/>
      <c r="U48" s="121">
        <f t="shared" si="10"/>
        <v>44312</v>
      </c>
      <c r="V48" s="122">
        <f t="shared" si="20"/>
        <v>0</v>
      </c>
      <c r="W48" s="123">
        <f t="shared" si="11"/>
        <v>0.83611111111111114</v>
      </c>
      <c r="X48" s="124">
        <f t="shared" si="21"/>
        <v>0</v>
      </c>
      <c r="Y48" s="125">
        <f t="shared" si="22"/>
        <v>0</v>
      </c>
      <c r="Z48" s="126">
        <f t="shared" si="23"/>
        <v>0</v>
      </c>
      <c r="AA48" s="96"/>
      <c r="AB48" s="121">
        <f t="shared" si="24"/>
        <v>44312</v>
      </c>
      <c r="AC48" s="122">
        <f t="shared" si="12"/>
        <v>0</v>
      </c>
      <c r="AD48" s="123">
        <f t="shared" si="13"/>
        <v>0.83611111111111114</v>
      </c>
      <c r="AE48" s="124">
        <f t="shared" si="14"/>
        <v>0</v>
      </c>
      <c r="AF48" s="125">
        <f t="shared" si="25"/>
        <v>0</v>
      </c>
      <c r="AG48" s="126">
        <f t="shared" si="15"/>
        <v>0</v>
      </c>
      <c r="AH48" s="97"/>
    </row>
    <row r="49" spans="1:34" ht="17.25" hidden="1" customHeight="1" x14ac:dyDescent="0.3">
      <c r="A49" s="55"/>
      <c r="B49" s="209">
        <f>+D49-$D$35</f>
        <v>333</v>
      </c>
      <c r="C49" s="4">
        <f>+B49</f>
        <v>333</v>
      </c>
      <c r="D49" s="7">
        <v>44342</v>
      </c>
      <c r="E49" s="134"/>
      <c r="F49" s="212">
        <f t="shared" si="26"/>
        <v>4285631</v>
      </c>
      <c r="G49" s="15"/>
      <c r="H49" s="211">
        <f t="shared" ref="H49:H55" si="27">ROUND((F48*B49*$H$35/$C$34),0)</f>
        <v>2424141</v>
      </c>
      <c r="I49" s="135">
        <v>4285632</v>
      </c>
      <c r="J49" s="117">
        <f t="shared" si="16"/>
        <v>6709773</v>
      </c>
      <c r="K49" s="113">
        <f t="shared" si="17"/>
        <v>6709773</v>
      </c>
      <c r="L49" s="132">
        <f t="shared" si="18"/>
        <v>2639186</v>
      </c>
      <c r="M49" s="117">
        <f t="shared" si="8"/>
        <v>4285632</v>
      </c>
      <c r="N49" s="117">
        <f t="shared" si="19"/>
        <v>4285631</v>
      </c>
      <c r="O49" s="117">
        <f t="shared" si="9"/>
        <v>6924818</v>
      </c>
      <c r="P49" s="133"/>
      <c r="Q49" s="139"/>
      <c r="R49" s="81"/>
      <c r="S49" s="58"/>
      <c r="U49" s="121">
        <f t="shared" si="10"/>
        <v>44342</v>
      </c>
      <c r="V49" s="122">
        <f t="shared" si="20"/>
        <v>6709773</v>
      </c>
      <c r="W49" s="123">
        <f t="shared" si="11"/>
        <v>0.9194444444444444</v>
      </c>
      <c r="X49" s="124">
        <f t="shared" si="21"/>
        <v>0.54453903445793039</v>
      </c>
      <c r="Y49" s="125">
        <f t="shared" si="22"/>
        <v>5234598.620845574</v>
      </c>
      <c r="Z49" s="126">
        <f t="shared" si="23"/>
        <v>0.56025541659090083</v>
      </c>
      <c r="AA49" s="96"/>
      <c r="AB49" s="121">
        <f t="shared" si="24"/>
        <v>44342</v>
      </c>
      <c r="AC49" s="122">
        <f t="shared" si="12"/>
        <v>6924818</v>
      </c>
      <c r="AD49" s="123">
        <f t="shared" si="13"/>
        <v>0.9194444444444444</v>
      </c>
      <c r="AE49" s="124">
        <f t="shared" si="14"/>
        <v>0.56199124881227669</v>
      </c>
      <c r="AF49" s="125">
        <f t="shared" si="25"/>
        <v>5300150.9596870495</v>
      </c>
      <c r="AG49" s="126">
        <f t="shared" si="15"/>
        <v>0.56727143741050778</v>
      </c>
      <c r="AH49" s="97"/>
    </row>
    <row r="50" spans="1:34" ht="17.25" hidden="1" customHeight="1" x14ac:dyDescent="0.3">
      <c r="A50" s="55"/>
      <c r="B50" s="209">
        <f>+D50-$D$49</f>
        <v>30</v>
      </c>
      <c r="C50" s="4">
        <f>+B50</f>
        <v>30</v>
      </c>
      <c r="D50" s="7">
        <v>44372</v>
      </c>
      <c r="E50" s="134"/>
      <c r="F50" s="212">
        <f t="shared" si="26"/>
        <v>-1</v>
      </c>
      <c r="G50" s="15"/>
      <c r="H50" s="211">
        <f t="shared" si="27"/>
        <v>109196</v>
      </c>
      <c r="I50" s="135">
        <v>4285632</v>
      </c>
      <c r="J50" s="117">
        <f t="shared" si="16"/>
        <v>4394828</v>
      </c>
      <c r="K50" s="113">
        <f t="shared" si="17"/>
        <v>4394828</v>
      </c>
      <c r="L50" s="132">
        <f t="shared" si="18"/>
        <v>118882</v>
      </c>
      <c r="M50" s="117">
        <f t="shared" si="8"/>
        <v>4285632</v>
      </c>
      <c r="N50" s="117">
        <f t="shared" si="19"/>
        <v>0</v>
      </c>
      <c r="O50" s="117">
        <f t="shared" si="9"/>
        <v>4404514</v>
      </c>
      <c r="P50" s="133"/>
      <c r="Q50" s="139"/>
      <c r="R50" s="81"/>
      <c r="S50" s="58"/>
      <c r="U50" s="121">
        <f t="shared" si="10"/>
        <v>44372</v>
      </c>
      <c r="V50" s="122">
        <f t="shared" si="20"/>
        <v>4394828</v>
      </c>
      <c r="W50" s="123">
        <f t="shared" si="11"/>
        <v>1.0027777777777778</v>
      </c>
      <c r="X50" s="124">
        <f t="shared" si="21"/>
        <v>0.3889934424691196</v>
      </c>
      <c r="Y50" s="125">
        <f t="shared" si="22"/>
        <v>3352315.1020592586</v>
      </c>
      <c r="Z50" s="126">
        <f t="shared" si="23"/>
        <v>0.39131520143554849</v>
      </c>
      <c r="AA50" s="96"/>
      <c r="AB50" s="121">
        <f t="shared" si="24"/>
        <v>44372</v>
      </c>
      <c r="AC50" s="122">
        <f t="shared" si="12"/>
        <v>4404514</v>
      </c>
      <c r="AD50" s="123">
        <f t="shared" si="13"/>
        <v>1.0027777777777778</v>
      </c>
      <c r="AE50" s="124">
        <f t="shared" si="14"/>
        <v>0.38985076623327047</v>
      </c>
      <c r="AF50" s="125">
        <f t="shared" si="25"/>
        <v>3290435.5448025903</v>
      </c>
      <c r="AG50" s="126">
        <f t="shared" si="15"/>
        <v>0.38409201069260152</v>
      </c>
      <c r="AH50" s="97"/>
    </row>
    <row r="51" spans="1:34" ht="17.25" hidden="1" customHeight="1" x14ac:dyDescent="0.3">
      <c r="A51" s="55"/>
      <c r="B51" s="209">
        <v>0</v>
      </c>
      <c r="C51" s="4">
        <f>+B51</f>
        <v>0</v>
      </c>
      <c r="D51" s="7"/>
      <c r="E51" s="134"/>
      <c r="F51" s="212">
        <f t="shared" si="26"/>
        <v>-1</v>
      </c>
      <c r="G51" s="15"/>
      <c r="H51" s="211">
        <f t="shared" si="27"/>
        <v>0</v>
      </c>
      <c r="I51" s="135"/>
      <c r="J51" s="117">
        <f t="shared" si="16"/>
        <v>0</v>
      </c>
      <c r="K51" s="113">
        <f t="shared" si="17"/>
        <v>0</v>
      </c>
      <c r="L51" s="132">
        <f t="shared" si="18"/>
        <v>0</v>
      </c>
      <c r="M51" s="117">
        <f t="shared" si="8"/>
        <v>0</v>
      </c>
      <c r="N51" s="117">
        <f t="shared" si="19"/>
        <v>0</v>
      </c>
      <c r="O51" s="117">
        <f t="shared" si="9"/>
        <v>0</v>
      </c>
      <c r="P51" s="133"/>
      <c r="Q51" s="139"/>
      <c r="R51" s="81"/>
      <c r="S51" s="58"/>
      <c r="U51" s="121">
        <f t="shared" si="10"/>
        <v>0</v>
      </c>
      <c r="V51" s="122">
        <f t="shared" si="20"/>
        <v>0</v>
      </c>
      <c r="W51" s="123">
        <f t="shared" ref="W51:W56" si="28">+(U51-$V$34)/365</f>
        <v>-120.57808219178082</v>
      </c>
      <c r="X51" s="124">
        <f t="shared" si="21"/>
        <v>0</v>
      </c>
      <c r="Y51" s="125">
        <f t="shared" si="22"/>
        <v>0</v>
      </c>
      <c r="Z51" s="126">
        <f t="shared" si="23"/>
        <v>0</v>
      </c>
      <c r="AA51" s="96"/>
      <c r="AB51" s="121">
        <f t="shared" si="24"/>
        <v>0</v>
      </c>
      <c r="AC51" s="122">
        <f t="shared" si="12"/>
        <v>0</v>
      </c>
      <c r="AD51" s="123">
        <f t="shared" ref="AD51:AD56" si="29">+(AB51-$V$34)/365</f>
        <v>-120.57808219178082</v>
      </c>
      <c r="AE51" s="124">
        <f t="shared" si="14"/>
        <v>0</v>
      </c>
      <c r="AF51" s="125">
        <f t="shared" si="25"/>
        <v>0</v>
      </c>
      <c r="AG51" s="126">
        <f t="shared" si="15"/>
        <v>0</v>
      </c>
      <c r="AH51" s="97"/>
    </row>
    <row r="52" spans="1:34" ht="17.25" hidden="1" customHeight="1" x14ac:dyDescent="0.3">
      <c r="A52" s="55"/>
      <c r="B52" s="209">
        <f>+(D52-D51)</f>
        <v>0</v>
      </c>
      <c r="C52" s="4">
        <f>+B52</f>
        <v>0</v>
      </c>
      <c r="D52" s="7"/>
      <c r="E52" s="134"/>
      <c r="F52" s="212">
        <f t="shared" si="26"/>
        <v>-1</v>
      </c>
      <c r="G52" s="15"/>
      <c r="H52" s="211">
        <f t="shared" si="27"/>
        <v>0</v>
      </c>
      <c r="I52" s="135"/>
      <c r="J52" s="117">
        <f t="shared" si="16"/>
        <v>0</v>
      </c>
      <c r="K52" s="113">
        <f t="shared" si="17"/>
        <v>0</v>
      </c>
      <c r="L52" s="132">
        <f t="shared" si="18"/>
        <v>0</v>
      </c>
      <c r="M52" s="117">
        <f t="shared" si="8"/>
        <v>0</v>
      </c>
      <c r="N52" s="117">
        <f t="shared" si="19"/>
        <v>0</v>
      </c>
      <c r="O52" s="117">
        <f t="shared" si="9"/>
        <v>0</v>
      </c>
      <c r="P52" s="133"/>
      <c r="Q52" s="139"/>
      <c r="R52" s="81"/>
      <c r="S52" s="58"/>
      <c r="U52" s="121">
        <f t="shared" si="10"/>
        <v>0</v>
      </c>
      <c r="V52" s="122">
        <f t="shared" si="20"/>
        <v>0</v>
      </c>
      <c r="W52" s="123">
        <f t="shared" si="28"/>
        <v>-120.57808219178082</v>
      </c>
      <c r="X52" s="124">
        <f t="shared" si="21"/>
        <v>0</v>
      </c>
      <c r="Y52" s="125">
        <f t="shared" si="22"/>
        <v>0</v>
      </c>
      <c r="Z52" s="126">
        <f t="shared" si="23"/>
        <v>0</v>
      </c>
      <c r="AA52" s="96"/>
      <c r="AB52" s="121">
        <f t="shared" si="24"/>
        <v>0</v>
      </c>
      <c r="AC52" s="122">
        <f t="shared" si="12"/>
        <v>0</v>
      </c>
      <c r="AD52" s="123">
        <f t="shared" si="29"/>
        <v>-120.57808219178082</v>
      </c>
      <c r="AE52" s="124">
        <f t="shared" si="14"/>
        <v>0</v>
      </c>
      <c r="AF52" s="125">
        <f t="shared" si="25"/>
        <v>0</v>
      </c>
      <c r="AG52" s="126">
        <f t="shared" si="15"/>
        <v>0</v>
      </c>
      <c r="AH52" s="97"/>
    </row>
    <row r="53" spans="1:34" ht="17.25" hidden="1" customHeight="1" x14ac:dyDescent="0.3">
      <c r="A53" s="55"/>
      <c r="B53" s="209"/>
      <c r="C53" s="4"/>
      <c r="D53" s="10"/>
      <c r="E53" s="213"/>
      <c r="F53" s="212">
        <f>F52-I53</f>
        <v>-1</v>
      </c>
      <c r="G53" s="15"/>
      <c r="H53" s="211">
        <f t="shared" si="27"/>
        <v>0</v>
      </c>
      <c r="I53" s="135"/>
      <c r="J53" s="117">
        <f>H53+I53</f>
        <v>0</v>
      </c>
      <c r="K53" s="113">
        <f>J53-'VDF A'!I25</f>
        <v>0</v>
      </c>
      <c r="L53" s="132">
        <f t="shared" si="18"/>
        <v>0</v>
      </c>
      <c r="M53" s="117">
        <f>+I53</f>
        <v>0</v>
      </c>
      <c r="N53" s="117">
        <f>IF((N52-M53)&lt;0,0,(N52-M53))</f>
        <v>0</v>
      </c>
      <c r="O53" s="117">
        <f>L53+M53</f>
        <v>0</v>
      </c>
      <c r="P53" s="133">
        <f>J53/(1+$D$20)^(B53/365)</f>
        <v>0</v>
      </c>
      <c r="Q53" s="139"/>
      <c r="R53" s="81"/>
      <c r="S53" s="58"/>
      <c r="U53" s="121">
        <f t="shared" si="10"/>
        <v>0</v>
      </c>
      <c r="V53" s="122">
        <f t="shared" si="20"/>
        <v>0</v>
      </c>
      <c r="W53" s="123">
        <f t="shared" si="28"/>
        <v>-120.57808219178082</v>
      </c>
      <c r="X53" s="124">
        <f t="shared" si="21"/>
        <v>0</v>
      </c>
      <c r="Y53" s="125">
        <f t="shared" si="22"/>
        <v>0</v>
      </c>
      <c r="Z53" s="126">
        <f>+Y53/$Y$57*W53</f>
        <v>0</v>
      </c>
      <c r="AA53" s="96"/>
      <c r="AB53" s="121">
        <f t="shared" si="24"/>
        <v>0</v>
      </c>
      <c r="AC53" s="122">
        <f t="shared" si="12"/>
        <v>0</v>
      </c>
      <c r="AD53" s="123">
        <f t="shared" si="29"/>
        <v>-120.57808219178082</v>
      </c>
      <c r="AE53" s="124">
        <f t="shared" si="14"/>
        <v>0</v>
      </c>
      <c r="AF53" s="125">
        <f t="shared" si="25"/>
        <v>0</v>
      </c>
      <c r="AG53" s="126">
        <f t="shared" si="15"/>
        <v>0</v>
      </c>
      <c r="AH53" s="97"/>
    </row>
    <row r="54" spans="1:34" ht="17.25" hidden="1" customHeight="1" x14ac:dyDescent="0.3">
      <c r="A54" s="55"/>
      <c r="B54" s="209"/>
      <c r="C54" s="4"/>
      <c r="D54" s="10"/>
      <c r="E54" s="213"/>
      <c r="F54" s="212">
        <f>F53-I54</f>
        <v>-1</v>
      </c>
      <c r="G54" s="15"/>
      <c r="H54" s="211">
        <f t="shared" si="27"/>
        <v>0</v>
      </c>
      <c r="I54" s="135"/>
      <c r="J54" s="117">
        <f>H54+I54</f>
        <v>0</v>
      </c>
      <c r="K54" s="113">
        <f t="shared" si="17"/>
        <v>0</v>
      </c>
      <c r="L54" s="132">
        <f t="shared" si="18"/>
        <v>0</v>
      </c>
      <c r="M54" s="117">
        <f>+I54</f>
        <v>0</v>
      </c>
      <c r="N54" s="117">
        <f>IF((N53-M54)&lt;0,0,(N53-M54))</f>
        <v>0</v>
      </c>
      <c r="O54" s="117">
        <f>L54+M54</f>
        <v>0</v>
      </c>
      <c r="P54" s="133">
        <f>J54/(1+$D$20)^(B54/365)</f>
        <v>0</v>
      </c>
      <c r="Q54" s="139"/>
      <c r="R54" s="81"/>
      <c r="S54" s="58"/>
      <c r="U54" s="121">
        <f>+D54</f>
        <v>0</v>
      </c>
      <c r="V54" s="122">
        <f>+J54</f>
        <v>0</v>
      </c>
      <c r="W54" s="123">
        <f t="shared" si="28"/>
        <v>-120.57808219178082</v>
      </c>
      <c r="X54" s="124">
        <f>+V54/$V$57*W54</f>
        <v>0</v>
      </c>
      <c r="Y54" s="125">
        <f>+V54/(1+$H$35)^W54</f>
        <v>0</v>
      </c>
      <c r="Z54" s="126">
        <f>+Y54/$Y$57*W54</f>
        <v>0</v>
      </c>
      <c r="AA54" s="96"/>
      <c r="AB54" s="121">
        <f>+U54</f>
        <v>0</v>
      </c>
      <c r="AC54" s="122">
        <f>+O54</f>
        <v>0</v>
      </c>
      <c r="AD54" s="123">
        <f t="shared" si="29"/>
        <v>-120.57808219178082</v>
      </c>
      <c r="AE54" s="124">
        <f t="shared" si="14"/>
        <v>0</v>
      </c>
      <c r="AF54" s="125">
        <f>+AC54/(1+$L$35)^AD54</f>
        <v>0</v>
      </c>
      <c r="AG54" s="126">
        <f t="shared" si="15"/>
        <v>0</v>
      </c>
      <c r="AH54" s="97"/>
    </row>
    <row r="55" spans="1:34" ht="17.25" hidden="1" customHeight="1" x14ac:dyDescent="0.3">
      <c r="A55" s="55"/>
      <c r="B55" s="209"/>
      <c r="C55" s="4"/>
      <c r="D55" s="10"/>
      <c r="E55" s="213"/>
      <c r="F55" s="212">
        <f>F54-I55</f>
        <v>-1</v>
      </c>
      <c r="G55" s="15"/>
      <c r="H55" s="211">
        <f t="shared" si="27"/>
        <v>0</v>
      </c>
      <c r="I55" s="135"/>
      <c r="J55" s="117">
        <f>H55+I55</f>
        <v>0</v>
      </c>
      <c r="K55" s="113">
        <f t="shared" si="17"/>
        <v>0</v>
      </c>
      <c r="L55" s="132">
        <f t="shared" si="18"/>
        <v>0</v>
      </c>
      <c r="M55" s="117">
        <f>+I55</f>
        <v>0</v>
      </c>
      <c r="N55" s="117">
        <f>IF((N54-M55)&lt;0,0,(N54-M55))</f>
        <v>0</v>
      </c>
      <c r="O55" s="117">
        <f>L55+M55</f>
        <v>0</v>
      </c>
      <c r="P55" s="133">
        <f>J55/(1+$D$20)^(B55/365)</f>
        <v>0</v>
      </c>
      <c r="Q55" s="139"/>
      <c r="R55" s="81"/>
      <c r="S55" s="58"/>
      <c r="U55" s="121">
        <f>+D55</f>
        <v>0</v>
      </c>
      <c r="V55" s="122">
        <f>+J55</f>
        <v>0</v>
      </c>
      <c r="W55" s="123">
        <f t="shared" si="28"/>
        <v>-120.57808219178082</v>
      </c>
      <c r="X55" s="124">
        <f>+V55/$V$57*W55</f>
        <v>0</v>
      </c>
      <c r="Y55" s="125">
        <f>+V55/(1+$H$35)^W55</f>
        <v>0</v>
      </c>
      <c r="Z55" s="126">
        <f>+Y55/$Y$57*W55</f>
        <v>0</v>
      </c>
      <c r="AA55" s="96"/>
      <c r="AB55" s="121">
        <f>+U55</f>
        <v>0</v>
      </c>
      <c r="AC55" s="122">
        <f>+O55</f>
        <v>0</v>
      </c>
      <c r="AD55" s="123">
        <f t="shared" si="29"/>
        <v>-120.57808219178082</v>
      </c>
      <c r="AE55" s="124">
        <f t="shared" si="14"/>
        <v>0</v>
      </c>
      <c r="AF55" s="125">
        <f>+AC55/(1+$L$35)^AD55</f>
        <v>0</v>
      </c>
      <c r="AG55" s="126">
        <f t="shared" si="15"/>
        <v>0</v>
      </c>
      <c r="AH55" s="97"/>
    </row>
    <row r="56" spans="1:34" ht="17.25" hidden="1" customHeight="1" thickBot="1" x14ac:dyDescent="0.35">
      <c r="A56" s="55"/>
      <c r="B56" s="214"/>
      <c r="C56" s="9"/>
      <c r="D56" s="11"/>
      <c r="E56" s="215"/>
      <c r="F56" s="216">
        <f>F55-I56</f>
        <v>-1</v>
      </c>
      <c r="G56" s="16"/>
      <c r="H56" s="217">
        <f>F55*B56*$H$35/$C$34</f>
        <v>0</v>
      </c>
      <c r="I56" s="141"/>
      <c r="J56" s="142">
        <f>H56+I56</f>
        <v>0</v>
      </c>
      <c r="K56" s="142">
        <f>J56</f>
        <v>0</v>
      </c>
      <c r="L56" s="142">
        <f t="shared" si="18"/>
        <v>0</v>
      </c>
      <c r="M56" s="142">
        <f>+IF(N55&gt;(K56-L56),+IF(L56&gt;0,K56-L56,0),N55)</f>
        <v>0</v>
      </c>
      <c r="N56" s="142">
        <f>IF((N55-M56)&lt;0,0,(N55-M56))</f>
        <v>0</v>
      </c>
      <c r="O56" s="142">
        <f>L56+M56</f>
        <v>0</v>
      </c>
      <c r="P56" s="145">
        <f>J56/(1+$D$20)^(B56/365)</f>
        <v>0</v>
      </c>
      <c r="Q56" s="139"/>
      <c r="R56" s="81"/>
      <c r="S56" s="58"/>
      <c r="U56" s="121">
        <f>+D56</f>
        <v>0</v>
      </c>
      <c r="V56" s="122">
        <f>+J56</f>
        <v>0</v>
      </c>
      <c r="W56" s="123">
        <f t="shared" si="28"/>
        <v>-120.57808219178082</v>
      </c>
      <c r="X56" s="124">
        <f>+V56/$V$57*W56</f>
        <v>0</v>
      </c>
      <c r="Y56" s="125">
        <f>+V56/(1+$H$35)^W56</f>
        <v>0</v>
      </c>
      <c r="Z56" s="126">
        <f>+Y56/$Y$57*W56</f>
        <v>0</v>
      </c>
      <c r="AA56" s="96"/>
      <c r="AB56" s="121">
        <f>+U56</f>
        <v>0</v>
      </c>
      <c r="AC56" s="122">
        <f>+O56</f>
        <v>0</v>
      </c>
      <c r="AD56" s="123">
        <f t="shared" si="29"/>
        <v>-120.57808219178082</v>
      </c>
      <c r="AE56" s="124">
        <f t="shared" si="14"/>
        <v>0</v>
      </c>
      <c r="AF56" s="125">
        <f>+AC56/(1+$L$35)^AD56</f>
        <v>0</v>
      </c>
      <c r="AG56" s="126">
        <f t="shared" si="15"/>
        <v>0</v>
      </c>
      <c r="AH56" s="97"/>
    </row>
    <row r="57" spans="1:34" ht="17.25" hidden="1" customHeight="1" thickBot="1" x14ac:dyDescent="0.3">
      <c r="A57" s="55"/>
      <c r="B57" s="148"/>
      <c r="C57" s="148"/>
      <c r="D57" s="148"/>
      <c r="E57" s="148"/>
      <c r="F57" s="148"/>
      <c r="G57" s="218"/>
      <c r="H57" s="148"/>
      <c r="I57" s="148"/>
      <c r="J57" s="148"/>
      <c r="K57" s="148"/>
      <c r="L57" s="148"/>
      <c r="M57" s="148"/>
      <c r="N57" s="148"/>
      <c r="O57" s="148"/>
      <c r="P57" s="148"/>
      <c r="Q57" s="148"/>
      <c r="R57" s="219"/>
      <c r="S57" s="58"/>
      <c r="U57" s="151" t="s">
        <v>18</v>
      </c>
      <c r="V57" s="152">
        <f>SUM(V39:V56)</f>
        <v>11104601</v>
      </c>
      <c r="W57" s="123"/>
      <c r="X57" s="152">
        <f>SUM(X39:X52)</f>
        <v>0.93353247692704999</v>
      </c>
      <c r="Y57" s="152">
        <f>SUM(Y39:Y56)</f>
        <v>8586913.722904833</v>
      </c>
      <c r="Z57" s="153">
        <f>SUM(Z39:Z56)</f>
        <v>0.95157061802644938</v>
      </c>
      <c r="AA57" s="96" t="s">
        <v>20</v>
      </c>
      <c r="AB57" s="151" t="s">
        <v>18</v>
      </c>
      <c r="AC57" s="152">
        <f>SUM(AC39:AC56)</f>
        <v>11329332</v>
      </c>
      <c r="AD57" s="123"/>
      <c r="AE57" s="152">
        <f>SUM(AE39:AE52)</f>
        <v>0.95184201504554711</v>
      </c>
      <c r="AF57" s="152">
        <f>SUM(AF39:AF56)</f>
        <v>8590586.5044896398</v>
      </c>
      <c r="AG57" s="153">
        <f>SUM(AG39:AG56)</f>
        <v>0.95136344810310924</v>
      </c>
      <c r="AH57" s="97" t="s">
        <v>20</v>
      </c>
    </row>
    <row r="58" spans="1:34" ht="15.75" hidden="1" customHeight="1" thickBot="1" x14ac:dyDescent="0.3">
      <c r="A58" s="55"/>
      <c r="B58" s="154"/>
      <c r="C58" s="154"/>
      <c r="D58" s="19"/>
      <c r="E58" s="19"/>
      <c r="F58" s="19"/>
      <c r="G58" s="19"/>
      <c r="H58" s="19"/>
      <c r="I58" s="19"/>
      <c r="J58" s="19"/>
      <c r="K58" s="19"/>
      <c r="L58" s="19"/>
      <c r="M58" s="19"/>
      <c r="N58" s="19"/>
      <c r="O58" s="19"/>
      <c r="P58" s="19"/>
      <c r="Q58" s="148"/>
      <c r="R58" s="219"/>
      <c r="S58" s="58"/>
      <c r="U58" s="155"/>
      <c r="V58" s="156"/>
      <c r="W58" s="220"/>
      <c r="X58" s="221">
        <f>+X57*12</f>
        <v>11.2023897231246</v>
      </c>
      <c r="Y58" s="159"/>
      <c r="Z58" s="222">
        <f>+Z57*12</f>
        <v>11.418847416317393</v>
      </c>
      <c r="AA58" s="223" t="s">
        <v>21</v>
      </c>
      <c r="AB58" s="155"/>
      <c r="AC58" s="156"/>
      <c r="AD58" s="220"/>
      <c r="AE58" s="221">
        <f>+AE57*12</f>
        <v>11.422104180546565</v>
      </c>
      <c r="AF58" s="159"/>
      <c r="AG58" s="224">
        <f>+AG57*12</f>
        <v>11.416361377237312</v>
      </c>
      <c r="AH58" s="225" t="s">
        <v>21</v>
      </c>
    </row>
    <row r="59" spans="1:34" s="179" customFormat="1" ht="15.75" hidden="1" customHeight="1" thickBot="1" x14ac:dyDescent="0.3">
      <c r="A59" s="164"/>
      <c r="B59" s="154"/>
      <c r="C59" s="154"/>
      <c r="D59" s="165" t="s">
        <v>5</v>
      </c>
      <c r="E59" s="166"/>
      <c r="F59" s="167"/>
      <c r="G59" s="167"/>
      <c r="H59" s="147">
        <f>SUM(H39:H57)</f>
        <v>2533337</v>
      </c>
      <c r="I59" s="147">
        <f>SUM(I39:I57)</f>
        <v>8571264</v>
      </c>
      <c r="J59" s="168">
        <f>SUM(J39:J57)</f>
        <v>11104601</v>
      </c>
      <c r="K59" s="169"/>
      <c r="L59" s="170">
        <f>SUM(L39:L57)</f>
        <v>2758068</v>
      </c>
      <c r="M59" s="170">
        <f>SUM(M39:M57)</f>
        <v>8571264</v>
      </c>
      <c r="N59" s="167"/>
      <c r="O59" s="170">
        <f>SUM(O39:O57)</f>
        <v>11329332</v>
      </c>
      <c r="P59" s="57"/>
      <c r="Q59" s="148"/>
      <c r="R59" s="219"/>
      <c r="S59" s="58"/>
      <c r="T59" s="22"/>
      <c r="U59" s="172"/>
      <c r="V59" s="173"/>
      <c r="W59" s="172"/>
      <c r="X59" s="172"/>
      <c r="Y59" s="172"/>
      <c r="Z59" s="226">
        <f>+U48-V34</f>
        <v>301</v>
      </c>
      <c r="AA59" s="227" t="s">
        <v>15</v>
      </c>
      <c r="AB59" s="155"/>
      <c r="AC59" s="156"/>
      <c r="AD59" s="176"/>
      <c r="AE59" s="176"/>
      <c r="AF59" s="176"/>
      <c r="AG59" s="228">
        <f>+AB48-AC34</f>
        <v>301</v>
      </c>
      <c r="AH59" s="229" t="s">
        <v>15</v>
      </c>
    </row>
    <row r="60" spans="1:34" ht="15" hidden="1" customHeight="1" x14ac:dyDescent="0.25">
      <c r="A60" s="55"/>
      <c r="B60" s="20"/>
      <c r="C60" s="21"/>
      <c r="D60" s="180"/>
      <c r="E60" s="180"/>
      <c r="F60" s="148"/>
      <c r="G60" s="148"/>
      <c r="H60" s="148"/>
      <c r="I60" s="148"/>
      <c r="J60" s="148"/>
      <c r="K60" s="148"/>
      <c r="L60" s="148"/>
      <c r="M60" s="148"/>
      <c r="N60" s="148"/>
      <c r="O60" s="148"/>
      <c r="P60" s="148"/>
      <c r="Q60" s="148"/>
      <c r="R60" s="219"/>
      <c r="S60" s="58"/>
      <c r="U60" s="1"/>
      <c r="V60" s="1"/>
      <c r="W60" s="1"/>
      <c r="X60" s="2"/>
      <c r="Y60" s="181"/>
      <c r="AA60" s="2"/>
    </row>
    <row r="61" spans="1:34" hidden="1" x14ac:dyDescent="0.25">
      <c r="A61" s="55"/>
      <c r="B61" s="20"/>
      <c r="C61" s="21"/>
      <c r="D61" s="180"/>
      <c r="E61" s="180"/>
      <c r="F61" s="148"/>
      <c r="G61" s="148"/>
      <c r="H61" s="148"/>
      <c r="I61" s="148"/>
      <c r="J61" s="148"/>
      <c r="K61" s="148"/>
      <c r="L61" s="148"/>
      <c r="M61" s="148"/>
      <c r="N61" s="148"/>
      <c r="O61" s="148"/>
      <c r="P61" s="148"/>
      <c r="Q61" s="148"/>
      <c r="R61" s="219"/>
      <c r="S61" s="58"/>
      <c r="U61" s="1"/>
      <c r="V61" s="1"/>
      <c r="W61" s="1"/>
      <c r="X61" s="2"/>
      <c r="Y61" s="181"/>
      <c r="AA61" s="2"/>
    </row>
    <row r="62" spans="1:34" hidden="1" x14ac:dyDescent="0.25">
      <c r="A62" s="55"/>
      <c r="B62" s="20"/>
      <c r="C62" s="21"/>
      <c r="D62" s="180"/>
      <c r="E62" s="180"/>
      <c r="F62" s="148"/>
      <c r="G62" s="148"/>
      <c r="H62" s="148"/>
      <c r="I62" s="148"/>
      <c r="J62" s="148"/>
      <c r="K62" s="148"/>
      <c r="L62" s="148"/>
      <c r="M62" s="148"/>
      <c r="N62" s="148"/>
      <c r="O62" s="148"/>
      <c r="P62" s="148"/>
      <c r="Q62" s="148"/>
      <c r="R62" s="219"/>
      <c r="S62" s="58"/>
      <c r="U62" s="1"/>
      <c r="V62" s="1"/>
      <c r="W62" s="1"/>
      <c r="X62" s="2"/>
      <c r="Y62" s="181"/>
      <c r="AA62" s="2"/>
    </row>
    <row r="63" spans="1:34" hidden="1" x14ac:dyDescent="0.25">
      <c r="A63" s="55"/>
      <c r="B63" s="20"/>
      <c r="C63" s="21"/>
      <c r="D63" s="19"/>
      <c r="E63" s="19"/>
      <c r="F63" s="19"/>
      <c r="G63" s="19"/>
      <c r="H63" s="19"/>
      <c r="I63" s="19"/>
      <c r="J63" s="19"/>
      <c r="K63" s="19"/>
      <c r="L63" s="19"/>
      <c r="M63" s="19"/>
      <c r="N63" s="19"/>
      <c r="O63" s="19"/>
      <c r="P63" s="19"/>
      <c r="Q63" s="19"/>
      <c r="R63" s="81"/>
      <c r="S63" s="58"/>
    </row>
    <row r="64" spans="1:34" x14ac:dyDescent="0.25">
      <c r="B64" s="230"/>
      <c r="C64" s="231"/>
      <c r="D64" s="23"/>
      <c r="E64" s="23"/>
      <c r="F64" s="23"/>
      <c r="G64" s="23"/>
      <c r="H64" s="23"/>
      <c r="I64" s="23"/>
      <c r="J64" s="23"/>
      <c r="K64" s="23"/>
      <c r="L64" s="23"/>
      <c r="M64" s="23"/>
      <c r="N64" s="23"/>
      <c r="O64" s="23"/>
      <c r="P64" s="23"/>
      <c r="Q64" s="23"/>
      <c r="R64" s="23"/>
      <c r="S64" s="22"/>
    </row>
    <row r="65" spans="19:24" x14ac:dyDescent="0.25">
      <c r="S65" s="22"/>
      <c r="W65" s="183"/>
      <c r="X65" s="1"/>
    </row>
    <row r="66" spans="19:24" x14ac:dyDescent="0.25">
      <c r="S66" s="22"/>
    </row>
    <row r="67" spans="19:24" x14ac:dyDescent="0.25">
      <c r="S67" s="22"/>
    </row>
  </sheetData>
  <sheetProtection algorithmName="SHA-512" hashValue="LVbGoKkRCiehGEbBkspuQK6pyHPkHsFB5IWwOt/p4/9IOrKtn+WZ7ONWabo40a1UwHs/sf8RbaqrLFxXQrNR/w==" saltValue="KfWlfBKsRwedfTm12btPUg==" spinCount="100000" sheet="1" selectLockedCells="1"/>
  <protectedRanges>
    <protectedRange sqref="D13:D14" name="Rango1"/>
  </protectedRanges>
  <mergeCells count="43">
    <mergeCell ref="AE34:AG34"/>
    <mergeCell ref="B23:C23"/>
    <mergeCell ref="B19:C19"/>
    <mergeCell ref="L8:L9"/>
    <mergeCell ref="I8:I9"/>
    <mergeCell ref="B10:C10"/>
    <mergeCell ref="B11:C11"/>
    <mergeCell ref="P7:R25"/>
    <mergeCell ref="B20:C20"/>
    <mergeCell ref="B7:C7"/>
    <mergeCell ref="X34:Z34"/>
    <mergeCell ref="B16:C16"/>
    <mergeCell ref="B8:C8"/>
    <mergeCell ref="M8:M9"/>
    <mergeCell ref="B9:C9"/>
    <mergeCell ref="B17:C17"/>
    <mergeCell ref="D36:D37"/>
    <mergeCell ref="B18:C18"/>
    <mergeCell ref="H1:M1"/>
    <mergeCell ref="H2:M2"/>
    <mergeCell ref="H3:M3"/>
    <mergeCell ref="H6:M6"/>
    <mergeCell ref="H7:M7"/>
    <mergeCell ref="H8:H9"/>
    <mergeCell ref="K8:K9"/>
    <mergeCell ref="B21:C21"/>
    <mergeCell ref="B22:C22"/>
    <mergeCell ref="B14:C14"/>
    <mergeCell ref="J8:J9"/>
    <mergeCell ref="B12:C12"/>
    <mergeCell ref="B13:C13"/>
    <mergeCell ref="B15:C15"/>
    <mergeCell ref="K36:K37"/>
    <mergeCell ref="H36:H37"/>
    <mergeCell ref="I36:I37"/>
    <mergeCell ref="K33:P33"/>
    <mergeCell ref="O36:O37"/>
    <mergeCell ref="P36:P37"/>
    <mergeCell ref="F33:J33"/>
    <mergeCell ref="J36:J37"/>
    <mergeCell ref="F36:F37"/>
    <mergeCell ref="N36:N37"/>
    <mergeCell ref="G36:G37"/>
  </mergeCells>
  <pageMargins left="0.70866141732283472" right="0.70866141732283472" top="0.74803149606299213" bottom="0.74803149606299213" header="0.31496062992125984" footer="0.31496062992125984"/>
  <pageSetup paperSize="9" scale="7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VDF A</vt:lpstr>
      <vt:lpstr>VDF B</vt:lpstr>
      <vt:lpstr>Hoja1</vt:lpstr>
      <vt:lpstr>'VDF A'!Área_de_impresión</vt:lpstr>
      <vt:lpstr>'VDF B'!Área_de_impresión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degennarog</dc:creator>
  <cp:lastModifiedBy>Juan Novoa</cp:lastModifiedBy>
  <cp:lastPrinted>2015-10-26T19:59:59Z</cp:lastPrinted>
  <dcterms:created xsi:type="dcterms:W3CDTF">2013-03-06T14:41:28Z</dcterms:created>
  <dcterms:modified xsi:type="dcterms:W3CDTF">2020-06-25T13:25:18Z</dcterms:modified>
</cp:coreProperties>
</file>