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EMPRESA\FF SERIE 1\Difusion\"/>
    </mc:Choice>
  </mc:AlternateContent>
  <bookViews>
    <workbookView xWindow="-105" yWindow="-105" windowWidth="19425" windowHeight="10425"/>
  </bookViews>
  <sheets>
    <sheet name="VDFA" sheetId="1" r:id="rId1"/>
    <sheet name="VDFB" sheetId="8" r:id="rId2"/>
    <sheet name="VDFC" sheetId="9" state="hidden" r:id="rId3"/>
    <sheet name="Hoja2" sheetId="2" state="hidden" r:id="rId4"/>
    <sheet name="Hoja3" sheetId="3" state="hidden" r:id="rId5"/>
    <sheet name="Badlar" sheetId="4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8" l="1"/>
  <c r="M30" i="1"/>
  <c r="C11" i="8" l="1"/>
  <c r="C10" i="8"/>
  <c r="C34" i="1"/>
  <c r="H24" i="1" l="1"/>
  <c r="H25" i="1" s="1"/>
  <c r="H26" i="1" s="1"/>
  <c r="G24" i="1" l="1"/>
  <c r="D34" i="9" l="1"/>
  <c r="N34" i="9"/>
  <c r="Q33" i="8"/>
  <c r="L38" i="1"/>
  <c r="P33" i="1"/>
  <c r="P33" i="9" l="1"/>
  <c r="N33" i="9"/>
  <c r="D33" i="9"/>
  <c r="Q32" i="8" l="1"/>
  <c r="Y32" i="8" s="1"/>
  <c r="Y30" i="8"/>
  <c r="Y29" i="8"/>
  <c r="G28" i="8"/>
  <c r="Y28" i="8"/>
  <c r="Q31" i="8"/>
  <c r="Y31" i="8" s="1"/>
  <c r="X33" i="8"/>
  <c r="P32" i="1"/>
  <c r="G29" i="8" l="1"/>
  <c r="P32" i="9" l="1"/>
  <c r="P31" i="9"/>
  <c r="D32" i="9"/>
  <c r="N32" i="9"/>
  <c r="N31" i="9"/>
  <c r="N30" i="9"/>
  <c r="N29" i="9"/>
  <c r="N28" i="9"/>
  <c r="N29" i="1"/>
  <c r="M32" i="1" l="1"/>
  <c r="G30" i="8" l="1"/>
  <c r="F10" i="8"/>
  <c r="M31" i="1" l="1"/>
  <c r="M29" i="1"/>
  <c r="I16" i="8" l="1"/>
  <c r="I16" i="1"/>
  <c r="P31" i="1" l="1"/>
  <c r="P30" i="1"/>
  <c r="P29" i="1"/>
  <c r="AB29" i="1" s="1"/>
  <c r="I16" i="9"/>
  <c r="G27" i="8"/>
  <c r="A5" i="9"/>
  <c r="A5" i="8"/>
  <c r="C11" i="9"/>
  <c r="B24" i="9" s="1"/>
  <c r="C10" i="9"/>
  <c r="Q16" i="8"/>
  <c r="Y27" i="8"/>
  <c r="Y26" i="8"/>
  <c r="Y25" i="8"/>
  <c r="G26" i="8"/>
  <c r="G25" i="8"/>
  <c r="R16" i="8"/>
  <c r="H24" i="9"/>
  <c r="U24" i="8"/>
  <c r="C35" i="9"/>
  <c r="F11" i="9"/>
  <c r="T18" i="1"/>
  <c r="C36" i="9"/>
  <c r="X38" i="9"/>
  <c r="Q18" i="1"/>
  <c r="S18" i="1"/>
  <c r="P18" i="1"/>
  <c r="K6" i="1"/>
  <c r="B24" i="1"/>
  <c r="S18" i="9"/>
  <c r="Q18" i="9"/>
  <c r="P18" i="9"/>
  <c r="U16" i="8"/>
  <c r="T16" i="8"/>
  <c r="B7" i="4"/>
  <c r="X31" i="1" l="1"/>
  <c r="X33" i="1"/>
  <c r="X30" i="1"/>
  <c r="X32" i="1"/>
  <c r="R18" i="1"/>
  <c r="U18" i="1" s="1"/>
  <c r="F11" i="1" s="1"/>
  <c r="P24" i="1"/>
  <c r="T24" i="8"/>
  <c r="U25" i="8"/>
  <c r="U26" i="8" s="1"/>
  <c r="U27" i="8" s="1"/>
  <c r="U28" i="8" s="1"/>
  <c r="U29" i="8" s="1"/>
  <c r="U30" i="8" s="1"/>
  <c r="S16" i="8"/>
  <c r="V16" i="8" s="1"/>
  <c r="F11" i="8" s="1"/>
  <c r="D33" i="8" s="1"/>
  <c r="K28" i="1"/>
  <c r="H25" i="9"/>
  <c r="H26" i="9" s="1"/>
  <c r="H27" i="9" s="1"/>
  <c r="R18" i="9"/>
  <c r="U18" i="9" s="1"/>
  <c r="G24" i="9"/>
  <c r="H24" i="8"/>
  <c r="H25" i="8" s="1"/>
  <c r="U26" i="9"/>
  <c r="U25" i="9"/>
  <c r="P24" i="9"/>
  <c r="X33" i="9" s="1"/>
  <c r="U27" i="9"/>
  <c r="C37" i="9"/>
  <c r="B24" i="8"/>
  <c r="AB33" i="8" s="1"/>
  <c r="D30" i="1" l="1"/>
  <c r="D31" i="1" s="1"/>
  <c r="D32" i="1" s="1"/>
  <c r="D33" i="1" s="1"/>
  <c r="K28" i="8"/>
  <c r="K29" i="8"/>
  <c r="K30" i="8"/>
  <c r="X31" i="9"/>
  <c r="X32" i="9"/>
  <c r="G24" i="8"/>
  <c r="H26" i="8"/>
  <c r="H27" i="8" s="1"/>
  <c r="H28" i="8" s="1"/>
  <c r="H29" i="8" s="1"/>
  <c r="H30" i="8" s="1"/>
  <c r="Q24" i="8"/>
  <c r="X27" i="9"/>
  <c r="X26" i="9"/>
  <c r="X29" i="9"/>
  <c r="X25" i="9"/>
  <c r="X30" i="9"/>
  <c r="X28" i="9"/>
  <c r="AB30" i="8" l="1"/>
  <c r="AB28" i="8"/>
  <c r="AB29" i="8"/>
  <c r="AB31" i="8"/>
  <c r="AB32" i="8"/>
  <c r="Y24" i="8"/>
  <c r="AB25" i="8"/>
  <c r="AB26" i="8"/>
  <c r="AB27" i="8"/>
  <c r="K27" i="1"/>
  <c r="H27" i="1"/>
  <c r="H28" i="1" s="1"/>
  <c r="H28" i="9" l="1"/>
  <c r="U28" i="9" l="1"/>
  <c r="H29" i="9" l="1"/>
  <c r="K29" i="9" l="1"/>
  <c r="U29" i="9" l="1"/>
  <c r="K30" i="9" l="1"/>
  <c r="H30" i="9"/>
  <c r="U30" i="9" l="1"/>
  <c r="H29" i="1" l="1"/>
  <c r="R29" i="1" l="1"/>
  <c r="Q29" i="1"/>
  <c r="K29" i="1"/>
  <c r="S29" i="1" l="1"/>
  <c r="M29" i="9" l="1"/>
  <c r="L29" i="9" s="1"/>
  <c r="N30" i="1" l="1"/>
  <c r="F30" i="1" s="1"/>
  <c r="E30" i="1" l="1"/>
  <c r="H30" i="1" s="1"/>
  <c r="R30" i="1"/>
  <c r="G30" i="1" l="1"/>
  <c r="Q30" i="1"/>
  <c r="S30" i="1" s="1"/>
  <c r="N30" i="8" l="1"/>
  <c r="M30" i="8" s="1"/>
  <c r="K30" i="1"/>
  <c r="M30" i="9" l="1"/>
  <c r="L30" i="9" s="1"/>
  <c r="N31" i="1" s="1"/>
  <c r="F31" i="1" l="1"/>
  <c r="R31" i="1" s="1"/>
  <c r="E31" i="1" l="1"/>
  <c r="Q31" i="1" l="1"/>
  <c r="S31" i="1" s="1"/>
  <c r="H31" i="1"/>
  <c r="G31" i="1"/>
  <c r="S31" i="8"/>
  <c r="K31" i="1" l="1"/>
  <c r="N31" i="8"/>
  <c r="R31" i="8"/>
  <c r="U31" i="8" s="1"/>
  <c r="H31" i="8"/>
  <c r="G31" i="8"/>
  <c r="M31" i="8" l="1"/>
  <c r="M31" i="9" s="1"/>
  <c r="T31" i="8"/>
  <c r="K31" i="8"/>
  <c r="R31" i="9" l="1"/>
  <c r="K31" i="9" l="1"/>
  <c r="L31" i="9"/>
  <c r="N32" i="1" s="1"/>
  <c r="Q31" i="9"/>
  <c r="S31" i="9" s="1"/>
  <c r="U31" i="9" s="1"/>
  <c r="H31" i="9"/>
  <c r="F32" i="1" l="1"/>
  <c r="Z27" i="1"/>
  <c r="E32" i="1" l="1"/>
  <c r="G32" i="1" s="1"/>
  <c r="R32" i="1"/>
  <c r="K32" i="1" l="1"/>
  <c r="N32" i="8"/>
  <c r="S32" i="8" s="1"/>
  <c r="Q32" i="1"/>
  <c r="H32" i="1"/>
  <c r="S32" i="1" l="1"/>
  <c r="H32" i="8" l="1"/>
  <c r="R32" i="8"/>
  <c r="G32" i="8"/>
  <c r="U32" i="8" l="1"/>
  <c r="T32" i="8"/>
  <c r="K32" i="8"/>
  <c r="M32" i="8"/>
  <c r="M32" i="9" l="1"/>
  <c r="F32" i="9" s="1"/>
  <c r="T25" i="9"/>
  <c r="T26" i="9" s="1"/>
  <c r="E32" i="9" l="1"/>
  <c r="G32" i="9" s="1"/>
  <c r="K32" i="9" s="1"/>
  <c r="R32" i="9"/>
  <c r="V36" i="8"/>
  <c r="T27" i="9"/>
  <c r="L32" i="9" l="1"/>
  <c r="N33" i="1" s="1"/>
  <c r="Q32" i="9"/>
  <c r="S32" i="9" s="1"/>
  <c r="U32" i="9" s="1"/>
  <c r="H32" i="9"/>
  <c r="T28" i="9"/>
  <c r="T29" i="9" s="1"/>
  <c r="T30" i="9" s="1"/>
  <c r="T31" i="9" s="1"/>
  <c r="T32" i="9" l="1"/>
  <c r="F33" i="1" l="1"/>
  <c r="R33" i="1" l="1"/>
  <c r="R34" i="1" s="1"/>
  <c r="E33" i="1"/>
  <c r="G33" i="1" s="1"/>
  <c r="I11" i="1" s="1"/>
  <c r="F34" i="1"/>
  <c r="E34" i="1" l="1"/>
  <c r="Q33" i="1"/>
  <c r="G34" i="1"/>
  <c r="N33" i="8" l="1"/>
  <c r="Y30" i="1"/>
  <c r="Z30" i="1" s="1"/>
  <c r="K33" i="1"/>
  <c r="K38" i="1" s="1"/>
  <c r="I15" i="1" s="1"/>
  <c r="Q34" i="1"/>
  <c r="T24" i="1" s="1"/>
  <c r="T25" i="1" s="1"/>
  <c r="T26" i="1" s="1"/>
  <c r="T27" i="1" s="1"/>
  <c r="S33" i="1"/>
  <c r="S34" i="1" s="1"/>
  <c r="U33" i="1" s="1"/>
  <c r="Y31" i="1" l="1"/>
  <c r="Z31" i="1" s="1"/>
  <c r="Y33" i="1"/>
  <c r="Z33" i="1" s="1"/>
  <c r="Y32" i="1"/>
  <c r="Z32" i="1" s="1"/>
  <c r="I12" i="1"/>
  <c r="I18" i="1" s="1"/>
  <c r="F33" i="8"/>
  <c r="U36" i="1"/>
  <c r="S24" i="1"/>
  <c r="Y37" i="1" s="1"/>
  <c r="T29" i="1"/>
  <c r="T30" i="1" s="1"/>
  <c r="T31" i="1" s="1"/>
  <c r="T32" i="1" s="1"/>
  <c r="T33" i="1" s="1"/>
  <c r="Z29" i="1"/>
  <c r="S33" i="8" l="1"/>
  <c r="S34" i="8" s="1"/>
  <c r="F34" i="8"/>
  <c r="E33" i="8"/>
  <c r="E34" i="8" s="1"/>
  <c r="Z34" i="1"/>
  <c r="F13" i="1" s="1"/>
  <c r="H33" i="8" l="1"/>
  <c r="R33" i="8"/>
  <c r="G33" i="8"/>
  <c r="G34" i="8" s="1"/>
  <c r="M25" i="8" s="1"/>
  <c r="M33" i="8" l="1"/>
  <c r="M33" i="9" s="1"/>
  <c r="K33" i="8"/>
  <c r="K36" i="8" s="1"/>
  <c r="I15" i="8" s="1"/>
  <c r="R34" i="8"/>
  <c r="T33" i="8"/>
  <c r="I11" i="8"/>
  <c r="I12" i="8" s="1"/>
  <c r="AC37" i="8" l="1"/>
  <c r="T34" i="8"/>
  <c r="F33" i="9"/>
  <c r="J12" i="8"/>
  <c r="AI12" i="8"/>
  <c r="I18" i="8"/>
  <c r="AC33" i="8" l="1"/>
  <c r="AD33" i="8" s="1"/>
  <c r="AC32" i="8"/>
  <c r="AD32" i="8" s="1"/>
  <c r="AC26" i="8"/>
  <c r="AD26" i="8" s="1"/>
  <c r="AC31" i="8"/>
  <c r="AD31" i="8" s="1"/>
  <c r="AC28" i="8"/>
  <c r="AD28" i="8" s="1"/>
  <c r="AC30" i="8"/>
  <c r="AD30" i="8" s="1"/>
  <c r="AC27" i="8"/>
  <c r="AD27" i="8" s="1"/>
  <c r="AC25" i="8"/>
  <c r="AD25" i="8" s="1"/>
  <c r="AC29" i="8"/>
  <c r="AD29" i="8" s="1"/>
  <c r="R33" i="9"/>
  <c r="R35" i="9" s="1"/>
  <c r="E33" i="9"/>
  <c r="G33" i="9" s="1"/>
  <c r="K33" i="9" s="1"/>
  <c r="I15" i="9" s="1"/>
  <c r="AD34" i="8" l="1"/>
  <c r="F13" i="8" s="1"/>
  <c r="L33" i="9"/>
  <c r="N34" i="1" s="1"/>
  <c r="H33" i="9"/>
  <c r="Q33" i="9"/>
  <c r="F34" i="9" l="1"/>
  <c r="T33" i="9"/>
  <c r="Q35" i="9"/>
  <c r="T24" i="9" s="1"/>
  <c r="S33" i="9"/>
  <c r="U33" i="9" l="1"/>
  <c r="U35" i="9" s="1"/>
  <c r="U38" i="9" s="1"/>
  <c r="E34" i="9"/>
  <c r="G34" i="9" s="1"/>
  <c r="F35" i="9"/>
  <c r="T35" i="9"/>
  <c r="S24" i="9"/>
  <c r="S35" i="9" s="1"/>
  <c r="G35" i="9" l="1"/>
  <c r="I11" i="9"/>
  <c r="E35" i="9"/>
  <c r="H34" i="9"/>
  <c r="I12" i="9" l="1"/>
  <c r="Y40" i="9"/>
  <c r="Y33" i="9" l="1"/>
  <c r="Z33" i="9" s="1"/>
  <c r="Y32" i="9"/>
  <c r="Z32" i="9" s="1"/>
  <c r="Y28" i="9"/>
  <c r="Z28" i="9" s="1"/>
  <c r="Y27" i="9"/>
  <c r="Z27" i="9" s="1"/>
  <c r="Y30" i="9"/>
  <c r="Z30" i="9" s="1"/>
  <c r="Y29" i="9"/>
  <c r="Z29" i="9" s="1"/>
  <c r="Y26" i="9"/>
  <c r="Z26" i="9" s="1"/>
  <c r="Y31" i="9"/>
  <c r="Z31" i="9" s="1"/>
  <c r="Y25" i="9"/>
  <c r="Z25" i="9" s="1"/>
  <c r="Z35" i="9" l="1"/>
  <c r="F13" i="9" s="1"/>
</calcChain>
</file>

<file path=xl/sharedStrings.xml><?xml version="1.0" encoding="utf-8"?>
<sst xmlns="http://schemas.openxmlformats.org/spreadsheetml/2006/main" count="160" uniqueCount="67">
  <si>
    <t>Fecha de Corte</t>
  </si>
  <si>
    <t>Liquidación</t>
  </si>
  <si>
    <t>Spread</t>
  </si>
  <si>
    <t>TNA</t>
  </si>
  <si>
    <t>Duration (meses)</t>
  </si>
  <si>
    <t>Modalidad</t>
  </si>
  <si>
    <t>30/360</t>
  </si>
  <si>
    <t>Precio</t>
  </si>
  <si>
    <t>Flujo</t>
  </si>
  <si>
    <t>Período de devengamiento</t>
  </si>
  <si>
    <t>Duration</t>
  </si>
  <si>
    <t>Fecha de Pago</t>
  </si>
  <si>
    <t xml:space="preserve">Capital </t>
  </si>
  <si>
    <t>Total</t>
  </si>
  <si>
    <t>Saldo de capital</t>
  </si>
  <si>
    <t xml:space="preserve">Badlar </t>
  </si>
  <si>
    <t>Minimo</t>
  </si>
  <si>
    <t>Maximo</t>
  </si>
  <si>
    <t>Tasa Cupon</t>
  </si>
  <si>
    <t>Descontado</t>
  </si>
  <si>
    <t>Días en base 360</t>
  </si>
  <si>
    <t>Desde</t>
  </si>
  <si>
    <t>Hasta</t>
  </si>
  <si>
    <t>Días</t>
  </si>
  <si>
    <t>VA</t>
  </si>
  <si>
    <t>Producto</t>
  </si>
  <si>
    <t>VDF B</t>
  </si>
  <si>
    <t>VN VDFA</t>
  </si>
  <si>
    <t>Cupon Minimo</t>
  </si>
  <si>
    <t>Cupon Maximo</t>
  </si>
  <si>
    <t>Margen</t>
  </si>
  <si>
    <t>Calificacion</t>
  </si>
  <si>
    <t>Badlar Proyectada</t>
  </si>
  <si>
    <t>Cupon</t>
  </si>
  <si>
    <t>Tirea</t>
  </si>
  <si>
    <t>VN VDFB</t>
  </si>
  <si>
    <t>Cupon Fijo</t>
  </si>
  <si>
    <t>Valor Residual</t>
  </si>
  <si>
    <t>Cupón</t>
  </si>
  <si>
    <t>Dias Devengamiento</t>
  </si>
  <si>
    <t>VN VDFC</t>
  </si>
  <si>
    <t>VDF C</t>
  </si>
  <si>
    <t>Interés 28%</t>
  </si>
  <si>
    <t xml:space="preserve">Amort.Capital </t>
  </si>
  <si>
    <t>TIR</t>
  </si>
  <si>
    <t>Interés 27%</t>
  </si>
  <si>
    <t>Renta</t>
  </si>
  <si>
    <t>Amortización</t>
  </si>
  <si>
    <t>Flujo Teorico de Fondos</t>
  </si>
  <si>
    <t>Calculo de Precio</t>
  </si>
  <si>
    <t>Csf (arg)</t>
  </si>
  <si>
    <t>A1+sf (arg)</t>
  </si>
  <si>
    <t xml:space="preserve">Interés </t>
  </si>
  <si>
    <t>VDF A (Minima)</t>
  </si>
  <si>
    <t>Remanente A</t>
  </si>
  <si>
    <t>Remanente A y B</t>
  </si>
  <si>
    <t>Remanente C</t>
  </si>
  <si>
    <t>Para precio</t>
  </si>
  <si>
    <t>Flujo teorico</t>
  </si>
  <si>
    <t>teorico</t>
  </si>
  <si>
    <t>Remanente c + flujo cheques</t>
  </si>
  <si>
    <t>A2sf (arg)</t>
  </si>
  <si>
    <r>
      <t>FIDEICOMISO FINANCIERO "GRUPO AGROEMPRESA SERIE I"</t>
    </r>
    <r>
      <rPr>
        <b/>
        <sz val="12"/>
        <color rgb="FF1F497D"/>
        <rFont val="Arial"/>
        <family val="2"/>
      </rPr>
      <t xml:space="preserve"> </t>
    </r>
    <r>
      <rPr>
        <b/>
        <sz val="12"/>
        <rFont val="Arial"/>
        <family val="2"/>
      </rPr>
      <t>(PYME)</t>
    </r>
  </si>
  <si>
    <t>VDF  Clase A</t>
  </si>
  <si>
    <t>VDF Clase B</t>
  </si>
  <si>
    <t>Margen s/Badlar</t>
  </si>
  <si>
    <t>Margen s/ Badlar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</si>
</sst>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\ _€_-;\-* #,##0\ _€_-;_-* &quot;-&quot;??\ _€_-;_-@_-"/>
    <numFmt numFmtId="167" formatCode="0.0000"/>
    <numFmt numFmtId="168" formatCode="#,##0.000000"/>
    <numFmt numFmtId="169" formatCode="_ * #,##0_ ;_ * \-#,##0_ ;_ * &quot;-&quot;??_ ;_ @_ "/>
    <numFmt numFmtId="170" formatCode="0.0000%"/>
    <numFmt numFmtId="171" formatCode="_ &quot;$&quot;\ * #,##0_ ;_ &quot;$&quot;\ * \-#,##0_ ;_ &quot;$&quot;\ * &quot;-&quot;??_ ;_ @_ "/>
    <numFmt numFmtId="172" formatCode="#,##0.0000000"/>
    <numFmt numFmtId="173" formatCode="_-* #,##0.000000\ [$€-C0A]_-;\-* #,##0.000000\ [$€-C0A]_-;_-* &quot;-&quot;??\ [$€-C0A]_-;_-@_-"/>
    <numFmt numFmtId="174" formatCode="_ * #,##0.00000_ ;_ * \-#,##0.00000_ ;_ * &quot;-&quot;??_ ;_ @_ "/>
    <numFmt numFmtId="175" formatCode="0.00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sz val="10"/>
      <name val="Arial"/>
      <family val="2"/>
    </font>
    <font>
      <sz val="10"/>
      <color indexed="10"/>
      <name val="Lucida Sans"/>
      <family val="2"/>
    </font>
    <font>
      <sz val="10"/>
      <color rgb="FFFF0000"/>
      <name val="Lucida Sans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2"/>
      <color rgb="FF1F497D"/>
      <name val="Arial"/>
      <family val="2"/>
    </font>
    <font>
      <b/>
      <sz val="11"/>
      <color theme="0"/>
      <name val="Calibri"/>
      <family val="2"/>
    </font>
    <font>
      <sz val="11"/>
      <name val="Consolas"/>
      <family val="3"/>
    </font>
    <font>
      <sz val="8"/>
      <name val="Arial"/>
      <family val="2"/>
    </font>
    <font>
      <b/>
      <sz val="10"/>
      <color rgb="FFFFFFFF"/>
      <name val="Calibri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Lucida Sans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EA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7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/>
  </cellStyleXfs>
  <cellXfs count="256">
    <xf numFmtId="0" fontId="0" fillId="0" borderId="0" xfId="0"/>
    <xf numFmtId="0" fontId="2" fillId="2" borderId="0" xfId="0" applyFont="1" applyFill="1"/>
    <xf numFmtId="166" fontId="2" fillId="2" borderId="0" xfId="1" applyNumberFormat="1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 applyBorder="1"/>
    <xf numFmtId="166" fontId="0" fillId="2" borderId="0" xfId="1" applyNumberFormat="1" applyFont="1" applyFill="1" applyBorder="1"/>
    <xf numFmtId="0" fontId="6" fillId="2" borderId="0" xfId="0" applyFont="1" applyFill="1" applyBorder="1"/>
    <xf numFmtId="0" fontId="0" fillId="0" borderId="0" xfId="0" applyFill="1"/>
    <xf numFmtId="14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4" borderId="2" xfId="3" applyFont="1" applyFill="1" applyBorder="1" applyAlignment="1" applyProtection="1">
      <alignment horizontal="center" vertical="center" wrapText="1"/>
      <protection hidden="1"/>
    </xf>
    <xf numFmtId="10" fontId="9" fillId="0" borderId="1" xfId="3" applyNumberFormat="1" applyFont="1" applyFill="1" applyBorder="1" applyAlignment="1" applyProtection="1">
      <alignment horizontal="center" vertical="center" wrapText="1"/>
    </xf>
    <xf numFmtId="10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center" vertical="center" wrapText="1"/>
      <protection hidden="1"/>
    </xf>
    <xf numFmtId="0" fontId="9" fillId="0" borderId="1" xfId="3" applyFont="1" applyFill="1" applyBorder="1" applyAlignment="1" applyProtection="1">
      <alignment horizontal="center" vertical="center" wrapText="1"/>
      <protection hidden="1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6" xfId="0" applyNumberFormat="1" applyFont="1" applyBorder="1" applyAlignment="1">
      <alignment horizontal="center" wrapText="1"/>
    </xf>
    <xf numFmtId="15" fontId="12" fillId="0" borderId="11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4" fontId="14" fillId="0" borderId="11" xfId="4" applyNumberFormat="1" applyFont="1" applyBorder="1" applyProtection="1">
      <protection hidden="1"/>
    </xf>
    <xf numFmtId="0" fontId="15" fillId="0" borderId="9" xfId="0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8" fontId="14" fillId="0" borderId="1" xfId="4" applyNumberFormat="1" applyFont="1" applyBorder="1" applyProtection="1">
      <protection hidden="1"/>
    </xf>
    <xf numFmtId="0" fontId="16" fillId="0" borderId="0" xfId="0" applyFont="1" applyAlignment="1">
      <alignment horizontal="center" vertical="center"/>
    </xf>
    <xf numFmtId="170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center"/>
    </xf>
    <xf numFmtId="10" fontId="18" fillId="0" borderId="16" xfId="0" applyNumberFormat="1" applyFont="1" applyBorder="1" applyAlignment="1">
      <alignment horizontal="center"/>
    </xf>
    <xf numFmtId="0" fontId="8" fillId="4" borderId="16" xfId="3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2" fontId="9" fillId="0" borderId="16" xfId="0" applyNumberFormat="1" applyFont="1" applyBorder="1" applyAlignment="1">
      <alignment horizontal="center" vertical="center"/>
    </xf>
    <xf numFmtId="170" fontId="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17" xfId="3" applyFont="1" applyFill="1" applyBorder="1" applyAlignment="1" applyProtection="1">
      <alignment horizontal="center" vertical="center" wrapText="1"/>
      <protection hidden="1"/>
    </xf>
    <xf numFmtId="0" fontId="8" fillId="4" borderId="18" xfId="3" applyFont="1" applyFill="1" applyBorder="1" applyAlignment="1" applyProtection="1">
      <alignment horizontal="center" vertical="center" wrapText="1"/>
      <protection hidden="1"/>
    </xf>
    <xf numFmtId="0" fontId="8" fillId="4" borderId="19" xfId="3" applyFont="1" applyFill="1" applyBorder="1" applyAlignment="1" applyProtection="1">
      <alignment horizontal="center" vertical="center" wrapText="1"/>
      <protection hidden="1"/>
    </xf>
    <xf numFmtId="167" fontId="18" fillId="6" borderId="16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167" fontId="9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/>
    </xf>
    <xf numFmtId="169" fontId="18" fillId="0" borderId="20" xfId="1" applyNumberFormat="1" applyFont="1" applyBorder="1" applyAlignment="1"/>
    <xf numFmtId="10" fontId="18" fillId="0" borderId="20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71" fontId="18" fillId="0" borderId="16" xfId="5" applyNumberFormat="1" applyFont="1" applyBorder="1" applyAlignment="1">
      <alignment horizontal="left"/>
    </xf>
    <xf numFmtId="0" fontId="22" fillId="3" borderId="0" xfId="0" applyFont="1" applyFill="1"/>
    <xf numFmtId="3" fontId="12" fillId="0" borderId="13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170" fontId="12" fillId="0" borderId="12" xfId="6" applyNumberFormat="1" applyFont="1" applyFill="1" applyBorder="1" applyAlignment="1">
      <alignment horizontal="center" vertical="center"/>
    </xf>
    <xf numFmtId="3" fontId="0" fillId="0" borderId="0" xfId="0" applyNumberFormat="1"/>
    <xf numFmtId="3" fontId="12" fillId="0" borderId="12" xfId="0" applyNumberFormat="1" applyFont="1" applyFill="1" applyBorder="1" applyAlignment="1">
      <alignment horizontal="right" vertical="center"/>
    </xf>
    <xf numFmtId="0" fontId="0" fillId="0" borderId="0" xfId="0" applyBorder="1"/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/>
    </xf>
    <xf numFmtId="10" fontId="25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/>
    <xf numFmtId="0" fontId="26" fillId="2" borderId="0" xfId="0" applyFont="1" applyFill="1" applyBorder="1"/>
    <xf numFmtId="0" fontId="27" fillId="0" borderId="0" xfId="0" applyFont="1"/>
    <xf numFmtId="0" fontId="28" fillId="5" borderId="0" xfId="0" applyFont="1" applyFill="1" applyBorder="1" applyAlignment="1">
      <alignment horizontal="center" vertical="center"/>
    </xf>
    <xf numFmtId="0" fontId="27" fillId="0" borderId="0" xfId="0" applyFont="1" applyFill="1"/>
    <xf numFmtId="10" fontId="27" fillId="0" borderId="0" xfId="0" applyNumberFormat="1" applyFont="1" applyFill="1"/>
    <xf numFmtId="10" fontId="27" fillId="6" borderId="0" xfId="0" applyNumberFormat="1" applyFont="1" applyFill="1"/>
    <xf numFmtId="0" fontId="28" fillId="5" borderId="7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wrapText="1"/>
    </xf>
    <xf numFmtId="4" fontId="25" fillId="0" borderId="5" xfId="0" applyNumberFormat="1" applyFont="1" applyBorder="1" applyAlignment="1">
      <alignment horizontal="center" wrapText="1"/>
    </xf>
    <xf numFmtId="4" fontId="25" fillId="0" borderId="6" xfId="0" applyNumberFormat="1" applyFont="1" applyBorder="1" applyAlignment="1">
      <alignment horizontal="center" wrapText="1"/>
    </xf>
    <xf numFmtId="15" fontId="29" fillId="3" borderId="11" xfId="0" applyNumberFormat="1" applyFont="1" applyFill="1" applyBorder="1" applyAlignment="1">
      <alignment horizontal="center" vertical="center"/>
    </xf>
    <xf numFmtId="3" fontId="29" fillId="3" borderId="12" xfId="0" applyNumberFormat="1" applyFont="1" applyFill="1" applyBorder="1" applyAlignment="1">
      <alignment horizontal="center" vertical="center"/>
    </xf>
    <xf numFmtId="169" fontId="29" fillId="3" borderId="7" xfId="1" applyNumberFormat="1" applyFont="1" applyFill="1" applyBorder="1" applyAlignment="1">
      <alignment horizontal="center" vertical="center"/>
    </xf>
    <xf numFmtId="0" fontId="27" fillId="0" borderId="7" xfId="0" applyFont="1" applyBorder="1"/>
    <xf numFmtId="0" fontId="29" fillId="0" borderId="14" xfId="0" applyFont="1" applyFill="1" applyBorder="1"/>
    <xf numFmtId="0" fontId="29" fillId="0" borderId="0" xfId="0" applyFont="1" applyFill="1" applyBorder="1"/>
    <xf numFmtId="0" fontId="29" fillId="0" borderId="13" xfId="0" applyFont="1" applyFill="1" applyBorder="1"/>
    <xf numFmtId="3" fontId="29" fillId="3" borderId="13" xfId="0" applyNumberFormat="1" applyFont="1" applyFill="1" applyBorder="1" applyAlignment="1">
      <alignment horizontal="center" vertical="center"/>
    </xf>
    <xf numFmtId="4" fontId="30" fillId="0" borderId="11" xfId="4" applyNumberFormat="1" applyFont="1" applyBorder="1" applyProtection="1">
      <protection hidden="1"/>
    </xf>
    <xf numFmtId="3" fontId="27" fillId="0" borderId="14" xfId="0" applyNumberFormat="1" applyFont="1" applyBorder="1"/>
    <xf numFmtId="4" fontId="27" fillId="0" borderId="0" xfId="0" applyNumberFormat="1" applyFont="1" applyBorder="1"/>
    <xf numFmtId="3" fontId="27" fillId="0" borderId="13" xfId="0" applyNumberFormat="1" applyFont="1" applyBorder="1"/>
    <xf numFmtId="166" fontId="27" fillId="0" borderId="0" xfId="1" applyNumberFormat="1" applyFont="1"/>
    <xf numFmtId="0" fontId="27" fillId="0" borderId="4" xfId="0" applyFont="1" applyBorder="1"/>
    <xf numFmtId="0" fontId="27" fillId="0" borderId="5" xfId="0" applyFont="1" applyBorder="1"/>
    <xf numFmtId="3" fontId="27" fillId="0" borderId="6" xfId="0" applyNumberFormat="1" applyFont="1" applyBorder="1"/>
    <xf numFmtId="168" fontId="30" fillId="0" borderId="1" xfId="4" applyNumberFormat="1" applyFont="1" applyBorder="1" applyProtection="1">
      <protection hidden="1"/>
    </xf>
    <xf numFmtId="15" fontId="0" fillId="0" borderId="0" xfId="1" applyNumberFormat="1" applyFont="1" applyFill="1"/>
    <xf numFmtId="15" fontId="31" fillId="0" borderId="11" xfId="0" applyNumberFormat="1" applyFont="1" applyFill="1" applyBorder="1" applyAlignment="1">
      <alignment horizontal="center" vertical="center"/>
    </xf>
    <xf numFmtId="3" fontId="31" fillId="0" borderId="13" xfId="0" applyNumberFormat="1" applyFont="1" applyFill="1" applyBorder="1" applyAlignment="1">
      <alignment horizontal="center" vertical="center"/>
    </xf>
    <xf numFmtId="170" fontId="18" fillId="6" borderId="16" xfId="0" applyNumberFormat="1" applyFont="1" applyFill="1" applyBorder="1" applyAlignment="1">
      <alignment horizontal="center"/>
    </xf>
    <xf numFmtId="3" fontId="27" fillId="0" borderId="0" xfId="0" applyNumberFormat="1" applyFont="1"/>
    <xf numFmtId="0" fontId="33" fillId="0" borderId="0" xfId="0" applyFont="1"/>
    <xf numFmtId="16" fontId="33" fillId="0" borderId="0" xfId="0" applyNumberFormat="1" applyFont="1"/>
    <xf numFmtId="14" fontId="33" fillId="0" borderId="0" xfId="0" applyNumberFormat="1" applyFont="1"/>
    <xf numFmtId="10" fontId="12" fillId="0" borderId="13" xfId="6" applyNumberFormat="1" applyFont="1" applyFill="1" applyBorder="1" applyAlignment="1">
      <alignment horizontal="center" vertical="center"/>
    </xf>
    <xf numFmtId="169" fontId="33" fillId="0" borderId="0" xfId="0" applyNumberFormat="1" applyFont="1"/>
    <xf numFmtId="165" fontId="33" fillId="0" borderId="0" xfId="1" applyFont="1"/>
    <xf numFmtId="0" fontId="33" fillId="0" borderId="0" xfId="0" applyFont="1" applyFill="1"/>
    <xf numFmtId="0" fontId="0" fillId="0" borderId="0" xfId="0" applyFont="1"/>
    <xf numFmtId="15" fontId="0" fillId="0" borderId="0" xfId="0" applyNumberFormat="1" applyFont="1"/>
    <xf numFmtId="15" fontId="34" fillId="0" borderId="0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5" fillId="0" borderId="0" xfId="0" applyFont="1" applyFill="1"/>
    <xf numFmtId="0" fontId="35" fillId="0" borderId="0" xfId="0" applyFont="1"/>
    <xf numFmtId="0" fontId="15" fillId="5" borderId="0" xfId="0" applyFont="1" applyFill="1" applyBorder="1" applyAlignment="1">
      <alignment horizontal="center" vertical="center"/>
    </xf>
    <xf numFmtId="10" fontId="35" fillId="0" borderId="0" xfId="0" applyNumberFormat="1" applyFont="1" applyFill="1"/>
    <xf numFmtId="10" fontId="35" fillId="6" borderId="0" xfId="0" applyNumberFormat="1" applyFont="1" applyFill="1"/>
    <xf numFmtId="0" fontId="15" fillId="5" borderId="10" xfId="0" applyFont="1" applyFill="1" applyBorder="1" applyAlignment="1">
      <alignment horizontal="center" vertical="center" wrapText="1"/>
    </xf>
    <xf numFmtId="0" fontId="35" fillId="0" borderId="7" xfId="0" applyFont="1" applyBorder="1"/>
    <xf numFmtId="3" fontId="35" fillId="0" borderId="14" xfId="0" applyNumberFormat="1" applyFont="1" applyBorder="1"/>
    <xf numFmtId="4" fontId="35" fillId="0" borderId="0" xfId="0" applyNumberFormat="1" applyFont="1" applyBorder="1"/>
    <xf numFmtId="3" fontId="35" fillId="0" borderId="13" xfId="0" applyNumberFormat="1" applyFont="1" applyBorder="1"/>
    <xf numFmtId="0" fontId="35" fillId="0" borderId="11" xfId="0" applyFont="1" applyBorder="1"/>
    <xf numFmtId="166" fontId="35" fillId="0" borderId="0" xfId="1" applyNumberFormat="1" applyFont="1"/>
    <xf numFmtId="3" fontId="35" fillId="0" borderId="4" xfId="0" applyNumberFormat="1" applyFont="1" applyBorder="1"/>
    <xf numFmtId="0" fontId="35" fillId="0" borderId="5" xfId="0" applyFont="1" applyBorder="1"/>
    <xf numFmtId="3" fontId="35" fillId="0" borderId="6" xfId="0" applyNumberFormat="1" applyFont="1" applyBorder="1"/>
    <xf numFmtId="171" fontId="35" fillId="0" borderId="0" xfId="0" applyNumberFormat="1" applyFont="1" applyFill="1"/>
    <xf numFmtId="168" fontId="36" fillId="0" borderId="1" xfId="4" applyNumberFormat="1" applyFont="1" applyBorder="1" applyProtection="1">
      <protection hidden="1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170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35" fillId="0" borderId="0" xfId="0" applyNumberFormat="1" applyFont="1" applyFill="1"/>
    <xf numFmtId="171" fontId="39" fillId="0" borderId="0" xfId="0" applyNumberFormat="1" applyFont="1" applyFill="1"/>
    <xf numFmtId="0" fontId="40" fillId="2" borderId="0" xfId="0" applyFont="1" applyFill="1"/>
    <xf numFmtId="0" fontId="41" fillId="2" borderId="0" xfId="0" applyFont="1" applyFill="1" applyBorder="1"/>
    <xf numFmtId="0" fontId="38" fillId="0" borderId="0" xfId="0" applyFont="1" applyFill="1"/>
    <xf numFmtId="0" fontId="38" fillId="0" borderId="0" xfId="0" applyFont="1"/>
    <xf numFmtId="10" fontId="38" fillId="0" borderId="0" xfId="0" applyNumberFormat="1" applyFont="1" applyFill="1"/>
    <xf numFmtId="10" fontId="38" fillId="6" borderId="0" xfId="0" applyNumberFormat="1" applyFont="1" applyFill="1"/>
    <xf numFmtId="0" fontId="37" fillId="0" borderId="0" xfId="0" applyFont="1"/>
    <xf numFmtId="3" fontId="15" fillId="3" borderId="12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0" fontId="38" fillId="0" borderId="7" xfId="0" applyFont="1" applyBorder="1"/>
    <xf numFmtId="0" fontId="10" fillId="0" borderId="0" xfId="0" applyFont="1" applyFill="1" applyBorder="1"/>
    <xf numFmtId="0" fontId="10" fillId="0" borderId="13" xfId="0" applyFont="1" applyFill="1" applyBorder="1"/>
    <xf numFmtId="0" fontId="38" fillId="0" borderId="11" xfId="0" applyFont="1" applyBorder="1"/>
    <xf numFmtId="15" fontId="38" fillId="0" borderId="0" xfId="0" applyNumberFormat="1" applyFont="1"/>
    <xf numFmtId="3" fontId="38" fillId="0" borderId="14" xfId="0" applyNumberFormat="1" applyFont="1" applyBorder="1"/>
    <xf numFmtId="4" fontId="38" fillId="0" borderId="0" xfId="0" applyNumberFormat="1" applyFont="1" applyBorder="1"/>
    <xf numFmtId="171" fontId="38" fillId="0" borderId="13" xfId="5" applyNumberFormat="1" applyFont="1" applyBorder="1"/>
    <xf numFmtId="166" fontId="38" fillId="0" borderId="0" xfId="1" applyNumberFormat="1" applyFont="1"/>
    <xf numFmtId="15" fontId="15" fillId="0" borderId="11" xfId="0" applyNumberFormat="1" applyFont="1" applyFill="1" applyBorder="1" applyAlignment="1">
      <alignment horizontal="center" vertical="center"/>
    </xf>
    <xf numFmtId="0" fontId="38" fillId="0" borderId="4" xfId="0" applyFont="1" applyBorder="1"/>
    <xf numFmtId="0" fontId="38" fillId="0" borderId="5" xfId="0" applyFont="1" applyBorder="1"/>
    <xf numFmtId="4" fontId="38" fillId="0" borderId="6" xfId="0" applyNumberFormat="1" applyFont="1" applyBorder="1"/>
    <xf numFmtId="0" fontId="15" fillId="0" borderId="15" xfId="0" applyFont="1" applyBorder="1" applyAlignment="1">
      <alignment horizontal="center" vertical="center"/>
    </xf>
    <xf numFmtId="171" fontId="35" fillId="8" borderId="0" xfId="0" applyNumberFormat="1" applyFont="1" applyFill="1"/>
    <xf numFmtId="3" fontId="38" fillId="0" borderId="0" xfId="0" applyNumberFormat="1" applyFont="1" applyFill="1"/>
    <xf numFmtId="0" fontId="27" fillId="0" borderId="0" xfId="0" applyFont="1" applyBorder="1"/>
    <xf numFmtId="3" fontId="27" fillId="0" borderId="0" xfId="0" applyNumberFormat="1" applyFont="1" applyBorder="1"/>
    <xf numFmtId="170" fontId="35" fillId="0" borderId="0" xfId="0" applyNumberFormat="1" applyFont="1"/>
    <xf numFmtId="170" fontId="37" fillId="0" borderId="0" xfId="0" applyNumberFormat="1" applyFont="1" applyFill="1"/>
    <xf numFmtId="0" fontId="15" fillId="7" borderId="4" xfId="0" applyFont="1" applyFill="1" applyBorder="1" applyAlignment="1">
      <alignment horizontal="center" vertical="center"/>
    </xf>
    <xf numFmtId="3" fontId="12" fillId="7" borderId="5" xfId="0" applyNumberFormat="1" applyFont="1" applyFill="1" applyBorder="1" applyAlignment="1">
      <alignment horizontal="center" vertical="center"/>
    </xf>
    <xf numFmtId="171" fontId="15" fillId="7" borderId="5" xfId="5" applyNumberFormat="1" applyFont="1" applyFill="1" applyBorder="1" applyAlignment="1">
      <alignment horizontal="center" vertical="center"/>
    </xf>
    <xf numFmtId="3" fontId="15" fillId="7" borderId="5" xfId="0" applyNumberFormat="1" applyFont="1" applyFill="1" applyBorder="1" applyAlignment="1">
      <alignment horizontal="center" vertical="center"/>
    </xf>
    <xf numFmtId="0" fontId="0" fillId="7" borderId="6" xfId="0" applyFill="1" applyBorder="1"/>
    <xf numFmtId="170" fontId="0" fillId="0" borderId="0" xfId="0" applyNumberFormat="1"/>
    <xf numFmtId="0" fontId="35" fillId="0" borderId="21" xfId="0" applyFont="1" applyBorder="1"/>
    <xf numFmtId="0" fontId="35" fillId="0" borderId="22" xfId="0" applyFont="1" applyBorder="1"/>
    <xf numFmtId="0" fontId="35" fillId="0" borderId="12" xfId="0" applyFont="1" applyBorder="1"/>
    <xf numFmtId="14" fontId="35" fillId="0" borderId="0" xfId="0" applyNumberFormat="1" applyFont="1" applyFill="1"/>
    <xf numFmtId="0" fontId="19" fillId="0" borderId="0" xfId="0" applyFont="1" applyAlignment="1">
      <alignment horizontal="center" vertical="center"/>
    </xf>
    <xf numFmtId="165" fontId="35" fillId="0" borderId="0" xfId="1" applyFont="1" applyFill="1"/>
    <xf numFmtId="165" fontId="36" fillId="0" borderId="11" xfId="1" applyFont="1" applyBorder="1" applyProtection="1">
      <protection hidden="1"/>
    </xf>
    <xf numFmtId="0" fontId="25" fillId="0" borderId="15" xfId="0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171" fontId="36" fillId="0" borderId="0" xfId="5" applyNumberFormat="1" applyFont="1" applyBorder="1" applyProtection="1">
      <protection hidden="1"/>
    </xf>
    <xf numFmtId="169" fontId="35" fillId="0" borderId="0" xfId="1" applyNumberFormat="1" applyFont="1" applyFill="1"/>
    <xf numFmtId="0" fontId="33" fillId="0" borderId="0" xfId="0" applyNumberFormat="1" applyFont="1"/>
    <xf numFmtId="0" fontId="33" fillId="3" borderId="0" xfId="0" applyFont="1" applyFill="1"/>
    <xf numFmtId="14" fontId="0" fillId="0" borderId="0" xfId="0" applyNumberFormat="1" applyFill="1"/>
    <xf numFmtId="165" fontId="0" fillId="0" borderId="0" xfId="1" applyFont="1"/>
    <xf numFmtId="10" fontId="0" fillId="0" borderId="0" xfId="0" applyNumberFormat="1" applyFill="1"/>
    <xf numFmtId="172" fontId="38" fillId="0" borderId="0" xfId="0" applyNumberFormat="1" applyFont="1" applyFill="1"/>
    <xf numFmtId="173" fontId="1" fillId="0" borderId="0" xfId="7"/>
    <xf numFmtId="174" fontId="42" fillId="0" borderId="0" xfId="7" applyNumberFormat="1" applyFont="1"/>
    <xf numFmtId="173" fontId="35" fillId="0" borderId="0" xfId="0" applyNumberFormat="1" applyFont="1"/>
    <xf numFmtId="175" fontId="35" fillId="0" borderId="0" xfId="0" applyNumberFormat="1" applyFont="1"/>
    <xf numFmtId="0" fontId="0" fillId="0" borderId="0" xfId="0" applyFill="1" applyBorder="1"/>
    <xf numFmtId="170" fontId="2" fillId="2" borderId="0" xfId="0" applyNumberFormat="1" applyFont="1" applyFill="1"/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9" borderId="16" xfId="3" applyFont="1" applyFill="1" applyBorder="1" applyAlignment="1" applyProtection="1">
      <alignment horizontal="center" vertical="center" wrapText="1"/>
      <protection hidden="1"/>
    </xf>
    <xf numFmtId="0" fontId="9" fillId="9" borderId="3" xfId="3" applyFont="1" applyFill="1" applyBorder="1" applyAlignment="1" applyProtection="1">
      <alignment horizontal="center" vertical="center" wrapText="1"/>
      <protection hidden="1"/>
    </xf>
    <xf numFmtId="0" fontId="15" fillId="9" borderId="16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 wrapText="1"/>
    </xf>
    <xf numFmtId="15" fontId="12" fillId="9" borderId="16" xfId="0" applyNumberFormat="1" applyFont="1" applyFill="1" applyBorder="1" applyAlignment="1">
      <alignment horizontal="center" vertical="center"/>
    </xf>
    <xf numFmtId="3" fontId="12" fillId="9" borderId="16" xfId="0" applyNumberFormat="1" applyFont="1" applyFill="1" applyBorder="1" applyAlignment="1">
      <alignment horizontal="right" vertical="center"/>
    </xf>
    <xf numFmtId="170" fontId="12" fillId="9" borderId="16" xfId="6" applyNumberFormat="1" applyFont="1" applyFill="1" applyBorder="1" applyAlignment="1">
      <alignment horizontal="center" vertical="center"/>
    </xf>
    <xf numFmtId="3" fontId="12" fillId="9" borderId="16" xfId="0" applyNumberFormat="1" applyFont="1" applyFill="1" applyBorder="1" applyAlignment="1">
      <alignment horizontal="center" vertical="center"/>
    </xf>
    <xf numFmtId="3" fontId="31" fillId="9" borderId="16" xfId="0" applyNumberFormat="1" applyFont="1" applyFill="1" applyBorder="1" applyAlignment="1">
      <alignment horizontal="center" vertical="center"/>
    </xf>
    <xf numFmtId="9" fontId="12" fillId="9" borderId="16" xfId="6" applyFont="1" applyFill="1" applyBorder="1" applyAlignment="1">
      <alignment horizontal="center" vertical="center"/>
    </xf>
    <xf numFmtId="169" fontId="12" fillId="9" borderId="16" xfId="1" applyNumberFormat="1" applyFont="1" applyFill="1" applyBorder="1" applyAlignment="1">
      <alignment horizontal="center" vertical="center"/>
    </xf>
    <xf numFmtId="10" fontId="12" fillId="9" borderId="16" xfId="6" applyNumberFormat="1" applyFont="1" applyFill="1" applyBorder="1" applyAlignment="1">
      <alignment horizontal="center" vertical="center"/>
    </xf>
    <xf numFmtId="164" fontId="12" fillId="9" borderId="16" xfId="5" applyFont="1" applyFill="1" applyBorder="1" applyAlignment="1">
      <alignment horizontal="center" vertical="center"/>
    </xf>
    <xf numFmtId="10" fontId="31" fillId="9" borderId="16" xfId="6" applyNumberFormat="1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3" fontId="15" fillId="9" borderId="16" xfId="0" applyNumberFormat="1" applyFont="1" applyFill="1" applyBorder="1" applyAlignment="1">
      <alignment horizontal="center" vertical="center"/>
    </xf>
    <xf numFmtId="0" fontId="0" fillId="9" borderId="16" xfId="0" applyFill="1" applyBorder="1"/>
    <xf numFmtId="14" fontId="9" fillId="9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9" borderId="0" xfId="0" applyFill="1"/>
    <xf numFmtId="170" fontId="9" fillId="9" borderId="1" xfId="3" applyNumberFormat="1" applyFont="1" applyFill="1" applyBorder="1" applyAlignment="1" applyProtection="1">
      <alignment horizontal="center" vertical="center" wrapText="1"/>
      <protection locked="0"/>
    </xf>
    <xf numFmtId="170" fontId="9" fillId="9" borderId="1" xfId="3" applyNumberFormat="1" applyFont="1" applyFill="1" applyBorder="1" applyAlignment="1" applyProtection="1">
      <alignment horizontal="center" vertical="center" wrapText="1"/>
      <protection hidden="1"/>
    </xf>
    <xf numFmtId="170" fontId="9" fillId="9" borderId="1" xfId="3" applyNumberFormat="1" applyFont="1" applyFill="1" applyBorder="1" applyAlignment="1" applyProtection="1">
      <alignment horizontal="center" vertical="center" wrapText="1"/>
    </xf>
    <xf numFmtId="2" fontId="9" fillId="9" borderId="16" xfId="0" applyNumberFormat="1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/>
    </xf>
    <xf numFmtId="0" fontId="9" fillId="9" borderId="1" xfId="3" applyFont="1" applyFill="1" applyBorder="1" applyAlignment="1" applyProtection="1">
      <alignment horizontal="center" vertical="center" wrapText="1"/>
      <protection hidden="1"/>
    </xf>
    <xf numFmtId="167" fontId="9" fillId="9" borderId="1" xfId="0" applyNumberFormat="1" applyFont="1" applyFill="1" applyBorder="1" applyAlignment="1">
      <alignment horizontal="center" vertical="center"/>
    </xf>
    <xf numFmtId="0" fontId="23" fillId="9" borderId="0" xfId="3" applyFont="1" applyFill="1" applyBorder="1" applyAlignment="1" applyProtection="1">
      <alignment horizontal="center" vertical="center" wrapText="1"/>
      <protection hidden="1"/>
    </xf>
    <xf numFmtId="15" fontId="31" fillId="9" borderId="16" xfId="0" applyNumberFormat="1" applyFont="1" applyFill="1" applyBorder="1" applyAlignment="1">
      <alignment horizontal="center" vertical="center"/>
    </xf>
    <xf numFmtId="3" fontId="31" fillId="9" borderId="16" xfId="0" applyNumberFormat="1" applyFont="1" applyFill="1" applyBorder="1" applyAlignment="1">
      <alignment horizontal="right" vertical="center"/>
    </xf>
    <xf numFmtId="170" fontId="31" fillId="9" borderId="16" xfId="6" applyNumberFormat="1" applyFont="1" applyFill="1" applyBorder="1" applyAlignment="1">
      <alignment horizontal="center" vertical="center"/>
    </xf>
    <xf numFmtId="2" fontId="31" fillId="9" borderId="16" xfId="6" applyNumberFormat="1" applyFont="1" applyFill="1" applyBorder="1" applyAlignment="1">
      <alignment horizontal="center" vertical="center"/>
    </xf>
    <xf numFmtId="3" fontId="32" fillId="9" borderId="16" xfId="0" applyNumberFormat="1" applyFont="1" applyFill="1" applyBorder="1" applyAlignment="1">
      <alignment horizontal="center" vertical="center"/>
    </xf>
    <xf numFmtId="0" fontId="35" fillId="9" borderId="0" xfId="0" applyFont="1" applyFill="1"/>
    <xf numFmtId="171" fontId="9" fillId="9" borderId="16" xfId="5" applyNumberFormat="1" applyFont="1" applyFill="1" applyBorder="1" applyAlignment="1">
      <alignment horizontal="left"/>
    </xf>
    <xf numFmtId="10" fontId="9" fillId="9" borderId="16" xfId="0" applyNumberFormat="1" applyFont="1" applyFill="1" applyBorder="1" applyAlignment="1">
      <alignment horizontal="center"/>
    </xf>
    <xf numFmtId="0" fontId="43" fillId="9" borderId="0" xfId="0" applyFont="1" applyFill="1" applyAlignment="1">
      <alignment horizontal="center"/>
    </xf>
    <xf numFmtId="0" fontId="9" fillId="9" borderId="16" xfId="0" applyFont="1" applyFill="1" applyBorder="1" applyAlignment="1">
      <alignment horizontal="center"/>
    </xf>
    <xf numFmtId="14" fontId="35" fillId="9" borderId="0" xfId="0" applyNumberFormat="1" applyFont="1" applyFill="1"/>
    <xf numFmtId="10" fontId="35" fillId="9" borderId="1" xfId="0" applyNumberFormat="1" applyFont="1" applyFill="1" applyBorder="1" applyAlignment="1">
      <alignment horizontal="center"/>
    </xf>
    <xf numFmtId="0" fontId="35" fillId="9" borderId="0" xfId="0" applyFont="1" applyFill="1" applyBorder="1"/>
    <xf numFmtId="0" fontId="44" fillId="9" borderId="16" xfId="0" applyFont="1" applyFill="1" applyBorder="1"/>
    <xf numFmtId="10" fontId="0" fillId="9" borderId="1" xfId="0" applyNumberFormat="1" applyFill="1" applyBorder="1"/>
    <xf numFmtId="170" fontId="9" fillId="10" borderId="1" xfId="3" applyNumberFormat="1" applyFont="1" applyFill="1" applyBorder="1" applyAlignment="1" applyProtection="1">
      <alignment horizontal="center" vertical="center" wrapText="1"/>
      <protection locked="0"/>
    </xf>
    <xf numFmtId="167" fontId="18" fillId="10" borderId="16" xfId="0" applyNumberFormat="1" applyFont="1" applyFill="1" applyBorder="1" applyAlignment="1">
      <alignment horizontal="center" vertical="center"/>
    </xf>
    <xf numFmtId="167" fontId="9" fillId="10" borderId="16" xfId="0" applyNumberFormat="1" applyFont="1" applyFill="1" applyBorder="1" applyAlignment="1">
      <alignment horizontal="center" vertical="center"/>
    </xf>
    <xf numFmtId="170" fontId="9" fillId="10" borderId="16" xfId="0" applyNumberFormat="1" applyFont="1" applyFill="1" applyBorder="1" applyAlignment="1">
      <alignment horizontal="center"/>
    </xf>
    <xf numFmtId="170" fontId="18" fillId="10" borderId="16" xfId="0" applyNumberFormat="1" applyFont="1" applyFill="1" applyBorder="1" applyAlignment="1">
      <alignment horizontal="center"/>
    </xf>
  </cellXfs>
  <cellStyles count="8">
    <cellStyle name="Cambiar to&amp;do" xfId="3"/>
    <cellStyle name="Millares" xfId="1" builtinId="3"/>
    <cellStyle name="Moneda" xfId="5" builtinId="4"/>
    <cellStyle name="Normal" xfId="0" builtinId="0"/>
    <cellStyle name="Normal 2 2" xfId="2"/>
    <cellStyle name="Normal 27" xfId="7"/>
    <cellStyle name="Normal_Flujos S XXXIV Garba" xfId="4"/>
    <cellStyle name="Porcentaje" xfId="6" builtinId="5"/>
  </cellStyles>
  <dxfs count="0"/>
  <tableStyles count="0" defaultTableStyle="TableStyleMedium2" defaultPivotStyle="PivotStyleLight16"/>
  <colors>
    <mruColors>
      <color rgb="FFF6F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657226</xdr:colOff>
      <xdr:row>2</xdr:row>
      <xdr:rowOff>0</xdr:rowOff>
    </xdr:from>
    <xdr:to>
      <xdr:col>6</xdr:col>
      <xdr:colOff>514350</xdr:colOff>
      <xdr:row>3</xdr:row>
      <xdr:rowOff>456860</xdr:rowOff>
    </xdr:to>
    <xdr:pic>
      <xdr:nvPicPr>
        <xdr:cNvPr id="6" name="Imagen 8" descr="cid:image004.jpg@01D83A08.E979E9A0">
          <a:extLst>
            <a:ext uri="{FF2B5EF4-FFF2-40B4-BE49-F238E27FC236}">
              <a16:creationId xmlns:a16="http://schemas.microsoft.com/office/drawing/2014/main" id="{3EDBBF10-744B-4DD9-9CED-421B184E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6" y="323850"/>
          <a:ext cx="1724024" cy="64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104774</xdr:rowOff>
    </xdr:from>
    <xdr:to>
      <xdr:col>4</xdr:col>
      <xdr:colOff>409575</xdr:colOff>
      <xdr:row>3</xdr:row>
      <xdr:rowOff>400599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61" t="21997" r="36842" b="19011"/>
        <a:stretch/>
      </xdr:blipFill>
      <xdr:spPr>
        <a:xfrm>
          <a:off x="2495550" y="428624"/>
          <a:ext cx="1285875" cy="48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200026</xdr:colOff>
      <xdr:row>2</xdr:row>
      <xdr:rowOff>1</xdr:rowOff>
    </xdr:from>
    <xdr:to>
      <xdr:col>6</xdr:col>
      <xdr:colOff>142875</xdr:colOff>
      <xdr:row>3</xdr:row>
      <xdr:rowOff>456861</xdr:rowOff>
    </xdr:to>
    <xdr:pic>
      <xdr:nvPicPr>
        <xdr:cNvPr id="4" name="Imagen 8" descr="cid:image004.jpg@01D83A08.E979E9A0">
          <a:extLst>
            <a:ext uri="{FF2B5EF4-FFF2-40B4-BE49-F238E27FC236}">
              <a16:creationId xmlns:a16="http://schemas.microsoft.com/office/drawing/2014/main" id="{3EDBBF10-744B-4DD9-9CED-421B184E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1" y="323851"/>
          <a:ext cx="1724024" cy="64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2</xdr:row>
      <xdr:rowOff>104775</xdr:rowOff>
    </xdr:from>
    <xdr:to>
      <xdr:col>3</xdr:col>
      <xdr:colOff>800100</xdr:colOff>
      <xdr:row>3</xdr:row>
      <xdr:rowOff>400600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61" t="21997" r="36842" b="19011"/>
        <a:stretch/>
      </xdr:blipFill>
      <xdr:spPr>
        <a:xfrm>
          <a:off x="2276475" y="428625"/>
          <a:ext cx="1285875" cy="48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0</xdr:row>
      <xdr:rowOff>95250</xdr:rowOff>
    </xdr:from>
    <xdr:to>
      <xdr:col>2</xdr:col>
      <xdr:colOff>901700</xdr:colOff>
      <xdr:row>3</xdr:row>
      <xdr:rowOff>577850</xdr:rowOff>
    </xdr:to>
    <xdr:pic>
      <xdr:nvPicPr>
        <xdr:cNvPr id="2" name="Imagen 2" descr="cid:image002.png@01D5485C.1C565A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95250"/>
          <a:ext cx="205740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800100</xdr:colOff>
      <xdr:row>1</xdr:row>
      <xdr:rowOff>19050</xdr:rowOff>
    </xdr:from>
    <xdr:to>
      <xdr:col>8</xdr:col>
      <xdr:colOff>749300</xdr:colOff>
      <xdr:row>3</xdr:row>
      <xdr:rowOff>393700</xdr:rowOff>
    </xdr:to>
    <xdr:pic>
      <xdr:nvPicPr>
        <xdr:cNvPr id="3" name="Imagen 1" descr="cid:image005.jpg@01D2545A.A729CC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77800"/>
          <a:ext cx="24828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tabSelected="1" zoomScaleNormal="100" workbookViewId="0">
      <selection activeCell="J13" sqref="J13"/>
    </sheetView>
  </sheetViews>
  <sheetFormatPr baseColWidth="10" defaultRowHeight="15" x14ac:dyDescent="0.25"/>
  <cols>
    <col min="1" max="1" width="10.7109375" bestFit="1" customWidth="1"/>
    <col min="2" max="2" width="13.5703125" bestFit="1" customWidth="1"/>
    <col min="3" max="4" width="13.140625" bestFit="1" customWidth="1"/>
    <col min="5" max="5" width="15" bestFit="1" customWidth="1"/>
    <col min="6" max="6" width="13" bestFit="1" customWidth="1"/>
    <col min="7" max="7" width="11.42578125" bestFit="1" customWidth="1"/>
    <col min="8" max="8" width="13.7109375" bestFit="1" customWidth="1"/>
    <col min="9" max="9" width="14.85546875" bestFit="1" customWidth="1"/>
    <col min="10" max="10" width="14.85546875" customWidth="1"/>
    <col min="11" max="11" width="30.7109375" style="113" hidden="1" customWidth="1"/>
    <col min="12" max="12" width="20.5703125" style="113" hidden="1" customWidth="1"/>
    <col min="13" max="13" width="11.42578125" style="113" hidden="1" customWidth="1"/>
    <col min="14" max="14" width="16.85546875" style="113" hidden="1" customWidth="1"/>
    <col min="15" max="15" width="12" style="113" hidden="1" customWidth="1"/>
    <col min="16" max="16" width="12.7109375" style="113" hidden="1" customWidth="1"/>
    <col min="17" max="17" width="12" style="113" hidden="1" customWidth="1"/>
    <col min="18" max="18" width="11.42578125" style="113" hidden="1" customWidth="1"/>
    <col min="19" max="19" width="25" style="113" hidden="1" customWidth="1"/>
    <col min="20" max="20" width="13.85546875" style="113" hidden="1" customWidth="1"/>
    <col min="21" max="21" width="39.7109375" style="113" hidden="1" customWidth="1"/>
    <col min="22" max="25" width="11.42578125" style="113" hidden="1" customWidth="1"/>
    <col min="26" max="26" width="19.7109375" style="113" hidden="1" customWidth="1"/>
    <col min="27" max="27" width="11.42578125" style="113" customWidth="1"/>
    <col min="28" max="28" width="18.28515625" style="113" bestFit="1" customWidth="1"/>
    <col min="29" max="29" width="20.7109375" style="113" bestFit="1" customWidth="1"/>
    <col min="30" max="30" width="19.7109375" style="113" bestFit="1" customWidth="1"/>
    <col min="31" max="31" width="11.42578125" style="113" customWidth="1"/>
    <col min="32" max="35" width="11.42578125" customWidth="1"/>
  </cols>
  <sheetData>
    <row r="1" spans="1:31" s="4" customFormat="1" ht="12.75" x14ac:dyDescent="0.2">
      <c r="A1" s="193"/>
      <c r="B1" s="1"/>
      <c r="C1" s="2"/>
      <c r="D1" s="2"/>
      <c r="E1" s="2"/>
      <c r="F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 ht="12.75" x14ac:dyDescent="0.2">
      <c r="A2" s="1"/>
      <c r="B2" s="1"/>
      <c r="C2" s="2"/>
      <c r="D2" s="2"/>
      <c r="E2" s="2"/>
      <c r="F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7" customFormat="1" x14ac:dyDescent="0.25">
      <c r="A3" s="5"/>
      <c r="B3" s="5"/>
      <c r="C3" s="6"/>
      <c r="D3" s="6"/>
      <c r="E3" s="6"/>
      <c r="F3" s="5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31" s="7" customFormat="1" ht="54" customHeight="1" x14ac:dyDescent="0.25">
      <c r="A4" s="192"/>
      <c r="B4" s="5"/>
      <c r="C4" s="6"/>
      <c r="D4" s="6"/>
      <c r="E4" s="6"/>
      <c r="F4" s="5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31" s="7" customFormat="1" ht="12.75" customHeight="1" x14ac:dyDescent="0.2">
      <c r="A5" s="198" t="s">
        <v>62</v>
      </c>
      <c r="B5" s="198"/>
      <c r="C5" s="198"/>
      <c r="D5" s="198"/>
      <c r="E5" s="198"/>
      <c r="F5" s="198"/>
      <c r="G5" s="198"/>
      <c r="H5" s="198"/>
      <c r="I5" s="198"/>
      <c r="J5" s="175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</row>
    <row r="6" spans="1:31" s="7" customFormat="1" ht="12.75" customHeight="1" x14ac:dyDescent="0.25">
      <c r="A6" s="33"/>
      <c r="B6" s="33"/>
      <c r="C6" s="33"/>
      <c r="D6" s="33"/>
      <c r="E6" s="33"/>
      <c r="F6" s="33"/>
      <c r="K6" s="53" t="str">
        <f>IF(AND(A2&gt;=10, A2&lt;20), "Verde", IF(AND(A2&gt;=20, A2&lt;30), "Azul", ""))</f>
        <v/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7" spans="1:31" s="7" customFormat="1" ht="12.75" hidden="1" customHeight="1" x14ac:dyDescent="0.2">
      <c r="A7" s="33"/>
      <c r="B7" s="33"/>
      <c r="C7" s="33"/>
      <c r="D7" s="33"/>
      <c r="E7" s="33"/>
      <c r="F7" s="33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</row>
    <row r="8" spans="1:31" hidden="1" x14ac:dyDescent="0.25">
      <c r="G8" s="8"/>
      <c r="H8" s="8"/>
      <c r="I8" s="8"/>
      <c r="J8" s="8"/>
      <c r="K8" s="112"/>
      <c r="L8" s="112"/>
      <c r="M8" s="112"/>
      <c r="N8" s="112"/>
      <c r="O8" s="112"/>
    </row>
    <row r="9" spans="1:31" x14ac:dyDescent="0.25">
      <c r="G9" s="8"/>
      <c r="H9" s="8"/>
      <c r="I9" s="8"/>
      <c r="J9" s="8"/>
      <c r="K9" s="112"/>
      <c r="L9" s="112"/>
      <c r="M9" s="112"/>
      <c r="N9" s="112"/>
      <c r="O9" s="112"/>
    </row>
    <row r="10" spans="1:31" ht="24" x14ac:dyDescent="0.25">
      <c r="B10" s="208" t="s">
        <v>0</v>
      </c>
      <c r="C10" s="226">
        <v>44564</v>
      </c>
      <c r="D10" s="241"/>
      <c r="E10" s="208" t="s">
        <v>32</v>
      </c>
      <c r="F10" s="251">
        <v>0.42</v>
      </c>
      <c r="G10" s="241"/>
      <c r="H10" s="208" t="s">
        <v>7</v>
      </c>
      <c r="I10" s="253">
        <v>104.1</v>
      </c>
      <c r="J10" s="112"/>
      <c r="K10" s="112"/>
      <c r="M10" s="112"/>
      <c r="N10" s="112"/>
      <c r="O10" s="112"/>
    </row>
    <row r="11" spans="1:31" x14ac:dyDescent="0.25">
      <c r="B11" s="208" t="s">
        <v>1</v>
      </c>
      <c r="C11" s="226">
        <v>44651</v>
      </c>
      <c r="D11" s="241"/>
      <c r="E11" s="208" t="s">
        <v>33</v>
      </c>
      <c r="F11" s="228">
        <f>IF(U18&gt;S18,U18,S18)</f>
        <v>0.43</v>
      </c>
      <c r="G11" s="241"/>
      <c r="H11" s="209" t="s">
        <v>44</v>
      </c>
      <c r="I11" s="229">
        <f>XIRR(G24:G33,B24:B33)</f>
        <v>0.54796273112297045</v>
      </c>
      <c r="J11" s="112"/>
      <c r="K11" s="112"/>
      <c r="M11" s="112"/>
      <c r="N11" s="112"/>
      <c r="O11" s="112"/>
    </row>
    <row r="12" spans="1:31" x14ac:dyDescent="0.25">
      <c r="B12" s="208" t="s">
        <v>27</v>
      </c>
      <c r="C12" s="242">
        <v>253035619</v>
      </c>
      <c r="D12" s="241"/>
      <c r="E12" s="241"/>
      <c r="F12" s="241"/>
      <c r="G12" s="241"/>
      <c r="H12" s="209" t="s">
        <v>3</v>
      </c>
      <c r="I12" s="230">
        <f>NOMINAL(I11,12)</f>
        <v>0.44499198023415953</v>
      </c>
      <c r="J12" s="134"/>
      <c r="K12" s="134"/>
      <c r="L12" s="112"/>
      <c r="M12" s="112"/>
      <c r="N12" s="112"/>
      <c r="O12" s="112"/>
      <c r="AC12" s="163"/>
    </row>
    <row r="13" spans="1:31" ht="22.5" customHeight="1" x14ac:dyDescent="0.25">
      <c r="B13" s="208" t="s">
        <v>28</v>
      </c>
      <c r="C13" s="243">
        <v>0.33</v>
      </c>
      <c r="D13" s="241"/>
      <c r="E13" s="208" t="s">
        <v>4</v>
      </c>
      <c r="F13" s="231">
        <f>-Z34/G24/30</f>
        <v>4.5599284524334331</v>
      </c>
      <c r="G13" s="241"/>
      <c r="H13" s="241"/>
      <c r="I13" s="244"/>
      <c r="J13" s="112"/>
      <c r="K13" s="112"/>
      <c r="L13" s="112"/>
      <c r="M13" s="112"/>
      <c r="N13" s="112"/>
      <c r="O13" s="112"/>
    </row>
    <row r="14" spans="1:31" x14ac:dyDescent="0.25">
      <c r="B14" s="208" t="s">
        <v>29</v>
      </c>
      <c r="C14" s="243">
        <v>0.52</v>
      </c>
      <c r="D14" s="241"/>
      <c r="E14" s="208" t="s">
        <v>5</v>
      </c>
      <c r="F14" s="233" t="s">
        <v>6</v>
      </c>
      <c r="G14" s="241"/>
      <c r="H14" s="208" t="s">
        <v>44</v>
      </c>
      <c r="I14" s="254">
        <v>0.72339399999999998</v>
      </c>
      <c r="J14" s="112"/>
      <c r="K14" s="112"/>
      <c r="L14" s="112"/>
      <c r="M14" s="112"/>
      <c r="N14" s="112"/>
      <c r="O14" s="112"/>
    </row>
    <row r="15" spans="1:31" x14ac:dyDescent="0.25">
      <c r="B15" s="208" t="s">
        <v>30</v>
      </c>
      <c r="C15" s="243">
        <v>0.01</v>
      </c>
      <c r="D15" s="241"/>
      <c r="E15" s="241"/>
      <c r="F15" s="241"/>
      <c r="G15" s="241"/>
      <c r="H15" s="209" t="s">
        <v>7</v>
      </c>
      <c r="I15" s="234">
        <f>K38/C12*100</f>
        <v>99.9999954341299</v>
      </c>
      <c r="J15" s="112"/>
      <c r="K15" s="112"/>
      <c r="L15" s="112"/>
      <c r="M15" s="112"/>
      <c r="N15" s="112"/>
      <c r="O15" s="112"/>
    </row>
    <row r="16" spans="1:31" x14ac:dyDescent="0.25">
      <c r="B16" s="208" t="s">
        <v>31</v>
      </c>
      <c r="C16" s="245" t="s">
        <v>51</v>
      </c>
      <c r="D16" s="241"/>
      <c r="E16" s="241"/>
      <c r="F16" s="241"/>
      <c r="G16" s="241"/>
      <c r="H16" s="209" t="s">
        <v>3</v>
      </c>
      <c r="I16" s="230">
        <f>NOMINAL(I14,12)</f>
        <v>0.55682844293988865</v>
      </c>
      <c r="J16" s="112"/>
      <c r="K16" s="112"/>
      <c r="L16" s="112"/>
      <c r="M16" s="112"/>
      <c r="N16" s="112"/>
      <c r="O16" s="112"/>
      <c r="P16" s="114" t="s">
        <v>15</v>
      </c>
      <c r="Q16" s="114" t="s">
        <v>2</v>
      </c>
      <c r="R16" s="114" t="s">
        <v>13</v>
      </c>
      <c r="S16" s="114" t="s">
        <v>16</v>
      </c>
      <c r="T16" s="114" t="s">
        <v>17</v>
      </c>
      <c r="U16" s="114" t="s">
        <v>18</v>
      </c>
    </row>
    <row r="17" spans="1:29" x14ac:dyDescent="0.25">
      <c r="B17" s="241"/>
      <c r="C17" s="241"/>
      <c r="D17" s="241"/>
      <c r="E17" s="241"/>
      <c r="F17" s="241"/>
      <c r="G17" s="241"/>
      <c r="H17" s="241"/>
      <c r="I17" s="241"/>
      <c r="J17" s="8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9" ht="24" x14ac:dyDescent="0.25">
      <c r="A18" s="8"/>
      <c r="B18" s="235"/>
      <c r="C18" s="246"/>
      <c r="D18" s="241"/>
      <c r="E18" s="241"/>
      <c r="F18" s="241"/>
      <c r="G18" s="241"/>
      <c r="H18" s="208" t="s">
        <v>65</v>
      </c>
      <c r="I18" s="247">
        <f>+I12-F10</f>
        <v>2.499198023415955E-2</v>
      </c>
      <c r="J18" s="8"/>
      <c r="K18" s="112"/>
      <c r="L18" s="112"/>
      <c r="M18" s="112"/>
      <c r="N18" s="112"/>
      <c r="O18" s="112"/>
      <c r="P18" s="115">
        <f>F10</f>
        <v>0.42</v>
      </c>
      <c r="Q18" s="115">
        <f>C15</f>
        <v>0.01</v>
      </c>
      <c r="R18" s="115">
        <f>P18+Q18</f>
        <v>0.43</v>
      </c>
      <c r="S18" s="115">
        <f>C13</f>
        <v>0.33</v>
      </c>
      <c r="T18" s="115">
        <f>C14</f>
        <v>0.52</v>
      </c>
      <c r="U18" s="116">
        <f>ROUND(IF(R18&lt;T18,IF(R18&gt;S18,R18,S18),T18),6)</f>
        <v>0.43</v>
      </c>
    </row>
    <row r="19" spans="1:29" x14ac:dyDescent="0.25">
      <c r="B19" s="241"/>
      <c r="C19" s="241"/>
      <c r="D19" s="241"/>
      <c r="E19" s="241"/>
      <c r="F19" s="241"/>
      <c r="G19" s="241"/>
      <c r="H19" s="241"/>
      <c r="I19" s="241"/>
      <c r="J19" s="8"/>
      <c r="K19" s="112"/>
      <c r="L19" s="112"/>
      <c r="M19" s="112"/>
      <c r="N19" s="112"/>
      <c r="O19" s="112"/>
    </row>
    <row r="20" spans="1:29" x14ac:dyDescent="0.25">
      <c r="B20" s="241"/>
      <c r="C20" s="241"/>
      <c r="D20" s="241"/>
      <c r="E20" s="241"/>
      <c r="F20" s="241"/>
      <c r="G20" s="241"/>
      <c r="H20" s="241"/>
      <c r="I20" s="241"/>
      <c r="J20" s="8"/>
      <c r="K20" s="112"/>
      <c r="L20" s="112"/>
      <c r="M20" s="112"/>
      <c r="N20" s="112"/>
      <c r="O20" s="112"/>
    </row>
    <row r="21" spans="1:29" ht="15.75" thickBot="1" x14ac:dyDescent="0.3">
      <c r="B21" s="241"/>
      <c r="C21" s="241"/>
      <c r="D21" s="241"/>
      <c r="E21" s="241"/>
      <c r="F21" s="241"/>
      <c r="G21" s="241"/>
      <c r="H21" s="241"/>
      <c r="I21" s="241"/>
      <c r="J21" s="8"/>
      <c r="K21" s="112"/>
      <c r="L21" s="112"/>
      <c r="M21" s="112"/>
      <c r="N21" s="112"/>
      <c r="O21" s="112"/>
    </row>
    <row r="22" spans="1:29" ht="15.75" thickBot="1" x14ac:dyDescent="0.3">
      <c r="B22" s="210" t="s">
        <v>63</v>
      </c>
      <c r="C22" s="210"/>
      <c r="D22" s="210"/>
      <c r="E22" s="210"/>
      <c r="F22" s="210"/>
      <c r="G22" s="210"/>
      <c r="H22" s="210"/>
      <c r="I22" s="248"/>
      <c r="J22" s="59"/>
      <c r="K22" s="112"/>
      <c r="L22" s="112"/>
      <c r="M22" s="112"/>
      <c r="N22" s="112"/>
      <c r="O22" s="112"/>
      <c r="P22" s="194" t="s">
        <v>53</v>
      </c>
      <c r="Q22" s="195"/>
      <c r="R22" s="195"/>
      <c r="S22" s="195"/>
      <c r="T22" s="196"/>
      <c r="U22" s="129" t="s">
        <v>8</v>
      </c>
      <c r="V22" s="100"/>
      <c r="X22" s="197" t="s">
        <v>10</v>
      </c>
      <c r="Y22" s="197"/>
      <c r="Z22" s="197"/>
    </row>
    <row r="23" spans="1:29" ht="26.25" customHeight="1" thickBot="1" x14ac:dyDescent="0.3">
      <c r="B23" s="211" t="s">
        <v>11</v>
      </c>
      <c r="C23" s="212" t="s">
        <v>39</v>
      </c>
      <c r="D23" s="212" t="s">
        <v>38</v>
      </c>
      <c r="E23" s="212" t="s">
        <v>47</v>
      </c>
      <c r="F23" s="211" t="s">
        <v>46</v>
      </c>
      <c r="G23" s="211" t="s">
        <v>8</v>
      </c>
      <c r="H23" s="211" t="s">
        <v>37</v>
      </c>
      <c r="I23" s="241"/>
      <c r="O23" s="112"/>
      <c r="P23" s="130" t="s">
        <v>11</v>
      </c>
      <c r="Q23" s="131" t="s">
        <v>12</v>
      </c>
      <c r="R23" s="132" t="s">
        <v>52</v>
      </c>
      <c r="S23" s="132" t="s">
        <v>13</v>
      </c>
      <c r="T23" s="132" t="s">
        <v>14</v>
      </c>
      <c r="U23" s="130" t="s">
        <v>19</v>
      </c>
      <c r="V23" s="100"/>
      <c r="X23" s="19" t="s">
        <v>23</v>
      </c>
      <c r="Y23" s="20" t="s">
        <v>24</v>
      </c>
      <c r="Z23" s="21" t="s">
        <v>25</v>
      </c>
    </row>
    <row r="24" spans="1:29" x14ac:dyDescent="0.25">
      <c r="B24" s="236">
        <f>C11</f>
        <v>44651</v>
      </c>
      <c r="C24" s="237"/>
      <c r="D24" s="238"/>
      <c r="E24" s="217"/>
      <c r="F24" s="217"/>
      <c r="G24" s="217">
        <f>-($H$24*I10)/100</f>
        <v>-263410079.37899998</v>
      </c>
      <c r="H24" s="217">
        <f>C12</f>
        <v>253035619</v>
      </c>
      <c r="I24" s="241"/>
      <c r="O24" s="112"/>
      <c r="P24" s="96">
        <f>+B24</f>
        <v>44651</v>
      </c>
      <c r="Q24" s="25"/>
      <c r="R24" s="25"/>
      <c r="S24" s="26">
        <f>+(-T24)</f>
        <v>-253035618.99999997</v>
      </c>
      <c r="T24" s="25">
        <f>Q34</f>
        <v>253035618.99999997</v>
      </c>
      <c r="U24" s="118"/>
      <c r="X24" s="171"/>
      <c r="Y24" s="172"/>
      <c r="Z24" s="173"/>
    </row>
    <row r="25" spans="1:29" hidden="1" x14ac:dyDescent="0.25">
      <c r="A25" s="101">
        <v>44316</v>
      </c>
      <c r="B25" s="236"/>
      <c r="C25" s="237"/>
      <c r="D25" s="222"/>
      <c r="E25" s="217"/>
      <c r="F25" s="217"/>
      <c r="G25" s="217"/>
      <c r="H25" s="217">
        <f>H24-E25</f>
        <v>253035619</v>
      </c>
      <c r="I25" s="241"/>
      <c r="K25" s="113" t="s">
        <v>49</v>
      </c>
      <c r="L25" s="112" t="s">
        <v>48</v>
      </c>
      <c r="M25" s="112"/>
      <c r="N25" s="112" t="s">
        <v>60</v>
      </c>
      <c r="O25" s="112"/>
      <c r="P25" s="96"/>
      <c r="Q25" s="26"/>
      <c r="R25" s="26"/>
      <c r="S25" s="26"/>
      <c r="T25" s="26">
        <f>T24-Q25</f>
        <v>253035618.99999997</v>
      </c>
      <c r="U25" s="122"/>
      <c r="X25" s="119"/>
      <c r="Y25" s="120"/>
      <c r="Z25" s="121"/>
      <c r="AB25" s="123"/>
    </row>
    <row r="26" spans="1:29" hidden="1" x14ac:dyDescent="0.25">
      <c r="A26" s="101">
        <v>44317</v>
      </c>
      <c r="B26" s="236"/>
      <c r="C26" s="237"/>
      <c r="D26" s="239"/>
      <c r="E26" s="217"/>
      <c r="F26" s="217"/>
      <c r="G26" s="217"/>
      <c r="H26" s="217">
        <f>+H25-E26</f>
        <v>253035619</v>
      </c>
      <c r="I26" s="241"/>
      <c r="L26" s="112"/>
      <c r="M26" s="112"/>
      <c r="N26" s="112"/>
      <c r="O26" s="112"/>
      <c r="P26" s="96"/>
      <c r="Q26" s="26"/>
      <c r="R26" s="26"/>
      <c r="S26" s="26"/>
      <c r="T26" s="26">
        <f t="shared" ref="T26" si="0">+T25-Q26</f>
        <v>253035618.99999997</v>
      </c>
      <c r="U26" s="122"/>
      <c r="X26" s="119"/>
      <c r="Y26" s="120"/>
      <c r="Z26" s="121"/>
      <c r="AB26" s="123"/>
    </row>
    <row r="27" spans="1:29" hidden="1" x14ac:dyDescent="0.25">
      <c r="A27" s="102">
        <v>44317</v>
      </c>
      <c r="B27" s="236"/>
      <c r="C27" s="237"/>
      <c r="D27" s="222"/>
      <c r="E27" s="217"/>
      <c r="F27" s="217"/>
      <c r="G27" s="217"/>
      <c r="H27" s="217">
        <f>+H26-E27</f>
        <v>253035619</v>
      </c>
      <c r="I27" s="241"/>
      <c r="K27" s="127">
        <f>G27/((1+$I$14)^((B27-$B$24)/365))</f>
        <v>0</v>
      </c>
      <c r="L27" s="159"/>
      <c r="M27" s="174"/>
      <c r="N27" s="176"/>
      <c r="O27" s="181"/>
      <c r="P27" s="96"/>
      <c r="Q27" s="26"/>
      <c r="R27" s="26"/>
      <c r="S27" s="26"/>
      <c r="T27" s="26">
        <f>+T26-Q27</f>
        <v>253035618.99999997</v>
      </c>
      <c r="U27" s="122"/>
      <c r="X27" s="119"/>
      <c r="Y27" s="120"/>
      <c r="Z27" s="121">
        <f>+G27*X27*Y27</f>
        <v>0</v>
      </c>
      <c r="AB27" s="123"/>
    </row>
    <row r="28" spans="1:29" hidden="1" x14ac:dyDescent="0.25">
      <c r="A28" s="102"/>
      <c r="B28" s="236"/>
      <c r="C28" s="237"/>
      <c r="D28" s="222"/>
      <c r="E28" s="217"/>
      <c r="F28" s="217"/>
      <c r="G28" s="217"/>
      <c r="H28" s="217">
        <f>+H27-E28</f>
        <v>253035619</v>
      </c>
      <c r="I28" s="241"/>
      <c r="K28" s="127">
        <f t="shared" ref="K28" si="1">G28/((1+$I$14)^((B28-$B$24)/365))</f>
        <v>0</v>
      </c>
      <c r="L28" s="159"/>
      <c r="M28" s="174"/>
      <c r="N28" s="176"/>
      <c r="O28" s="181"/>
      <c r="P28" s="96"/>
      <c r="Q28" s="26"/>
      <c r="R28" s="26"/>
      <c r="S28" s="26"/>
      <c r="T28" s="26"/>
      <c r="U28" s="122"/>
      <c r="X28" s="119"/>
      <c r="Y28" s="120"/>
      <c r="Z28" s="121"/>
      <c r="AB28" s="123"/>
    </row>
    <row r="29" spans="1:29" hidden="1" x14ac:dyDescent="0.25">
      <c r="A29" s="102"/>
      <c r="B29" s="236"/>
      <c r="C29" s="237"/>
      <c r="D29" s="222"/>
      <c r="E29" s="217"/>
      <c r="F29" s="217"/>
      <c r="G29" s="217"/>
      <c r="H29" s="217">
        <f t="shared" ref="H29:H31" si="2">+H28-E29</f>
        <v>253035619</v>
      </c>
      <c r="I29" s="241"/>
      <c r="K29" s="127">
        <f>G29/((1+$I$14)^((B29-$B$24)/365))</f>
        <v>0</v>
      </c>
      <c r="L29" s="159">
        <v>0</v>
      </c>
      <c r="M29" s="174">
        <f>+B29</f>
        <v>0</v>
      </c>
      <c r="N29" s="176">
        <f>+L29</f>
        <v>0</v>
      </c>
      <c r="O29" s="181"/>
      <c r="P29" s="96">
        <f t="shared" ref="P29:P31" si="3">+B29</f>
        <v>0</v>
      </c>
      <c r="Q29" s="26">
        <f t="shared" ref="Q29" si="4">+E29</f>
        <v>0</v>
      </c>
      <c r="R29" s="26">
        <f t="shared" ref="R29:R30" si="5">+F29</f>
        <v>0</v>
      </c>
      <c r="S29" s="26">
        <f t="shared" ref="S29:S30" si="6">+R29+Q29</f>
        <v>0</v>
      </c>
      <c r="T29" s="26">
        <f>+T27-Q29</f>
        <v>253035618.99999997</v>
      </c>
      <c r="U29" s="122"/>
      <c r="X29" s="119"/>
      <c r="Y29" s="120"/>
      <c r="Z29" s="121">
        <f>+G29*X29*Y29</f>
        <v>0</v>
      </c>
      <c r="AB29" s="189">
        <f>IF(P29&gt;$C$14,+Q29+R29,0)</f>
        <v>0</v>
      </c>
    </row>
    <row r="30" spans="1:29" x14ac:dyDescent="0.25">
      <c r="A30" s="102"/>
      <c r="B30" s="236">
        <v>44727</v>
      </c>
      <c r="C30" s="217">
        <v>120</v>
      </c>
      <c r="D30" s="222">
        <f>+IF(OR(AND((F11&gt;C13),F11&lt;C14),F11=C14,F11=C13),F11,IF(F11&gt;C14,C14,C13))</f>
        <v>0.43</v>
      </c>
      <c r="E30" s="217">
        <f t="shared" ref="E30" si="7">+MIN(IF(F30&gt;0,N30-F30,0),H29)</f>
        <v>11324064.276666664</v>
      </c>
      <c r="F30" s="217">
        <f>+IF(H29*D30/360*C30&lt;=N30,H29*D30/360*C30,0)</f>
        <v>36268438.723333336</v>
      </c>
      <c r="G30" s="217">
        <f>+F30+E30</f>
        <v>47592503</v>
      </c>
      <c r="H30" s="217">
        <f>+H29-E30</f>
        <v>241711554.72333333</v>
      </c>
      <c r="I30" s="241"/>
      <c r="K30" s="127">
        <f>G30/((1+$I$14)^((B30-$B$24)/365))</f>
        <v>42493132.127942637</v>
      </c>
      <c r="L30" s="159">
        <v>47592503</v>
      </c>
      <c r="M30" s="174">
        <f>+B30</f>
        <v>44727</v>
      </c>
      <c r="N30" s="176">
        <f>+L30+VDFC!L29</f>
        <v>47592503</v>
      </c>
      <c r="O30" s="181"/>
      <c r="P30" s="96">
        <f t="shared" si="3"/>
        <v>44727</v>
      </c>
      <c r="Q30" s="26">
        <f>+E30</f>
        <v>11324064.276666664</v>
      </c>
      <c r="R30" s="26">
        <f t="shared" si="5"/>
        <v>36268438.723333336</v>
      </c>
      <c r="S30" s="26">
        <f t="shared" si="6"/>
        <v>47592503</v>
      </c>
      <c r="T30" s="26">
        <f>+T29-Q30</f>
        <v>241711554.7233333</v>
      </c>
      <c r="U30" s="122"/>
      <c r="X30" s="119">
        <f>+B30-$B$24</f>
        <v>76</v>
      </c>
      <c r="Y30" s="120">
        <f>1/((1+$I$11)^(X30/365))</f>
        <v>0.91303667897030594</v>
      </c>
      <c r="Z30" s="121">
        <f>+G30*X30*Y30</f>
        <v>3302481267.1083283</v>
      </c>
      <c r="AA30" s="191"/>
      <c r="AB30" s="189"/>
      <c r="AC30" s="188"/>
    </row>
    <row r="31" spans="1:29" x14ac:dyDescent="0.25">
      <c r="A31" s="102"/>
      <c r="B31" s="236">
        <v>44757</v>
      </c>
      <c r="C31" s="217">
        <v>30</v>
      </c>
      <c r="D31" s="222">
        <f>D30</f>
        <v>0.43</v>
      </c>
      <c r="E31" s="217">
        <f>+MIN(IF(F31&gt;0,N31-F31,0),H30)</f>
        <v>41882775.289080553</v>
      </c>
      <c r="F31" s="217">
        <f>+IF(H30*D31/360*C31&lt;=N31,H30*D31/360*C31,0)</f>
        <v>8661330.7109194454</v>
      </c>
      <c r="G31" s="217">
        <f>+F31+E31</f>
        <v>50544106</v>
      </c>
      <c r="H31" s="217">
        <f t="shared" si="2"/>
        <v>199828779.43425277</v>
      </c>
      <c r="I31" s="241"/>
      <c r="K31" s="127">
        <f>G31/((1+$I$14)^((B31-$B$24)/365))</f>
        <v>43154078.554324858</v>
      </c>
      <c r="L31" s="159">
        <v>50544106</v>
      </c>
      <c r="M31" s="174">
        <f t="shared" ref="M31" si="8">+B31</f>
        <v>44757</v>
      </c>
      <c r="N31" s="176">
        <f>+L31+VDFC!L30</f>
        <v>50544106</v>
      </c>
      <c r="O31" s="181"/>
      <c r="P31" s="96">
        <f t="shared" si="3"/>
        <v>44757</v>
      </c>
      <c r="Q31" s="26">
        <f t="shared" ref="Q31" si="9">+E31</f>
        <v>41882775.289080553</v>
      </c>
      <c r="R31" s="26">
        <f t="shared" ref="R31" si="10">+F31</f>
        <v>8661330.7109194454</v>
      </c>
      <c r="S31" s="26">
        <f t="shared" ref="S31" si="11">+R31+Q31</f>
        <v>50544106</v>
      </c>
      <c r="T31" s="26">
        <f>+T30-Q31</f>
        <v>199828779.43425274</v>
      </c>
      <c r="U31" s="122"/>
      <c r="X31" s="119">
        <f>+B31-$B$24</f>
        <v>106</v>
      </c>
      <c r="Y31" s="120">
        <f>1/((1+$I$11)^(X31/365))</f>
        <v>0.88082872907703191</v>
      </c>
      <c r="Z31" s="121">
        <f>+G31*X31*Y31</f>
        <v>4719194268.9333668</v>
      </c>
      <c r="AA31" s="191"/>
      <c r="AB31" s="189"/>
      <c r="AC31" s="188"/>
    </row>
    <row r="32" spans="1:29" x14ac:dyDescent="0.25">
      <c r="A32" s="102"/>
      <c r="B32" s="236">
        <v>44788</v>
      </c>
      <c r="C32" s="217">
        <v>30</v>
      </c>
      <c r="D32" s="222">
        <f>D31</f>
        <v>0.43</v>
      </c>
      <c r="E32" s="217">
        <f t="shared" ref="E32" si="12">+MIN(IF(F32&gt;0,N32-F32,0),H31)</f>
        <v>48365245.736939274</v>
      </c>
      <c r="F32" s="217">
        <f t="shared" ref="F32" si="13">+IF(H31*D32/360*C32&lt;=N32,H31*D32/360*C32,0)</f>
        <v>7160531.2630607234</v>
      </c>
      <c r="G32" s="217">
        <f>+F32+E32</f>
        <v>55525777</v>
      </c>
      <c r="H32" s="217">
        <f t="shared" ref="H32" si="14">+H31-E32</f>
        <v>151463533.69731349</v>
      </c>
      <c r="I32" s="241"/>
      <c r="K32" s="127">
        <f>G32/((1+$I$14)^((B32-$B$24)/365))</f>
        <v>45265724.380477645</v>
      </c>
      <c r="L32" s="159">
        <v>55525777</v>
      </c>
      <c r="M32" s="174">
        <f t="shared" ref="M32" si="15">+B32</f>
        <v>44788</v>
      </c>
      <c r="N32" s="176">
        <f>+L32+VDFC!L31</f>
        <v>55525777</v>
      </c>
      <c r="O32" s="181"/>
      <c r="P32" s="96">
        <f t="shared" ref="P32:P33" si="16">+B32</f>
        <v>44788</v>
      </c>
      <c r="Q32" s="26">
        <f t="shared" ref="Q32" si="17">+E32</f>
        <v>48365245.736939274</v>
      </c>
      <c r="R32" s="26">
        <f t="shared" ref="R32" si="18">+F32</f>
        <v>7160531.2630607234</v>
      </c>
      <c r="S32" s="26">
        <f t="shared" ref="S32" si="19">+R32+Q32</f>
        <v>55525777</v>
      </c>
      <c r="T32" s="26">
        <f t="shared" ref="T32:T33" si="20">+T31-Q32</f>
        <v>151463533.69731346</v>
      </c>
      <c r="U32" s="122"/>
      <c r="X32" s="119">
        <f>+B32-$B$24</f>
        <v>137</v>
      </c>
      <c r="Y32" s="120">
        <f>1/((1+$I$11)^(X32/365))</f>
        <v>0.84874030390141209</v>
      </c>
      <c r="Z32" s="121">
        <f>+G32*X32*Y32</f>
        <v>6456394183.8118591</v>
      </c>
      <c r="AA32" s="191"/>
      <c r="AB32" s="189"/>
      <c r="AC32" s="188"/>
    </row>
    <row r="33" spans="1:30" ht="15.75" thickBot="1" x14ac:dyDescent="0.3">
      <c r="A33" s="102">
        <v>44346</v>
      </c>
      <c r="B33" s="236">
        <v>44819</v>
      </c>
      <c r="C33" s="217">
        <v>30</v>
      </c>
      <c r="D33" s="222">
        <f>D32</f>
        <v>0.43</v>
      </c>
      <c r="E33" s="217">
        <f t="shared" ref="E33" si="21">+MIN(IF(F33&gt;0,N33-F33,0),H32)</f>
        <v>151463533.69731349</v>
      </c>
      <c r="F33" s="217">
        <f t="shared" ref="F33" si="22">+IF(H32*D33/360*C33&lt;=N33,H32*D33/360*C33,0)</f>
        <v>5427443.2908204002</v>
      </c>
      <c r="G33" s="217">
        <f>+F33+E33</f>
        <v>156890976.98813388</v>
      </c>
      <c r="H33" s="217"/>
      <c r="I33" s="241"/>
      <c r="K33" s="127">
        <f>G33/((1+$I$14)^((B33-$B$24)/365))</f>
        <v>122122672.3839772</v>
      </c>
      <c r="L33" s="159">
        <v>239430208</v>
      </c>
      <c r="M33" s="174">
        <v>44819</v>
      </c>
      <c r="N33" s="176">
        <f>+L33+VDFC!L32</f>
        <v>239430208</v>
      </c>
      <c r="O33" s="181"/>
      <c r="P33" s="96">
        <f t="shared" si="16"/>
        <v>44819</v>
      </c>
      <c r="Q33" s="26">
        <f t="shared" ref="Q33" si="23">+E33</f>
        <v>151463533.69731349</v>
      </c>
      <c r="R33" s="26">
        <f t="shared" ref="R33" si="24">+F33</f>
        <v>5427443.2908204002</v>
      </c>
      <c r="S33" s="26">
        <f t="shared" ref="S33" si="25">+R33+Q33</f>
        <v>156890976.98813388</v>
      </c>
      <c r="T33" s="26">
        <f t="shared" si="20"/>
        <v>0</v>
      </c>
      <c r="U33" s="177">
        <f>S34/((1+I$14)^((B29-B$24)/365))</f>
        <v>2.5669516575391499E+37</v>
      </c>
      <c r="X33" s="119">
        <f>+B33-$B$24</f>
        <v>168</v>
      </c>
      <c r="Y33" s="120">
        <f>1/((1+$I$11)^(X33/365))</f>
        <v>0.81782085402855098</v>
      </c>
      <c r="Z33" s="121">
        <f>+G33*X33*Y33</f>
        <v>21555863748.687977</v>
      </c>
      <c r="AA33" s="191"/>
      <c r="AB33" s="189"/>
      <c r="AC33" s="188"/>
    </row>
    <row r="34" spans="1:30" ht="15.75" thickBot="1" x14ac:dyDescent="0.3">
      <c r="A34" s="102"/>
      <c r="B34" s="211" t="s">
        <v>13</v>
      </c>
      <c r="C34" s="240">
        <f>SUM(C25:C33)</f>
        <v>210</v>
      </c>
      <c r="D34" s="217"/>
      <c r="E34" s="240">
        <f>SUM(E25:E33)</f>
        <v>253035618.99999997</v>
      </c>
      <c r="F34" s="240">
        <f>SUM(F25:F33)</f>
        <v>57517743.988133907</v>
      </c>
      <c r="G34" s="240">
        <f>SUM(G25:G33)</f>
        <v>310553362.98813391</v>
      </c>
      <c r="H34" s="249"/>
      <c r="I34" s="241"/>
      <c r="K34" s="127"/>
      <c r="L34" s="159">
        <v>8149974</v>
      </c>
      <c r="M34" s="112"/>
      <c r="N34" s="176">
        <f>+L34+VDFC!L33</f>
        <v>49468886.799366124</v>
      </c>
      <c r="O34" s="181"/>
      <c r="P34" s="28" t="s">
        <v>13</v>
      </c>
      <c r="Q34" s="29">
        <f>SUM(Q24:Q33)</f>
        <v>253035618.99999997</v>
      </c>
      <c r="R34" s="29">
        <f>SUM(R24:R33)</f>
        <v>57517743.988133907</v>
      </c>
      <c r="S34" s="29">
        <f>SUM(S25:S33)</f>
        <v>310553362.98813391</v>
      </c>
      <c r="T34" s="30"/>
      <c r="U34" s="31"/>
      <c r="X34" s="124"/>
      <c r="Y34" s="125"/>
      <c r="Z34" s="126">
        <f>SUM(Z24:Z33)</f>
        <v>36033933468.541534</v>
      </c>
      <c r="AB34" s="123"/>
    </row>
    <row r="35" spans="1:30" x14ac:dyDescent="0.25">
      <c r="A35" s="101"/>
      <c r="B35" s="8"/>
      <c r="C35" s="104"/>
      <c r="D35" s="8"/>
      <c r="F35" s="8"/>
      <c r="G35" s="55"/>
      <c r="H35" s="55"/>
      <c r="K35" s="127"/>
      <c r="L35" s="159"/>
      <c r="M35" s="112"/>
      <c r="N35" s="112"/>
      <c r="O35" s="112"/>
      <c r="Y35" s="112"/>
      <c r="AC35" s="190"/>
      <c r="AD35" s="190"/>
    </row>
    <row r="36" spans="1:30" ht="15.75" thickBot="1" x14ac:dyDescent="0.3">
      <c r="A36" s="102"/>
      <c r="B36" s="184"/>
      <c r="C36" s="104"/>
      <c r="D36" s="47"/>
      <c r="F36" s="8"/>
      <c r="L36" s="159"/>
      <c r="T36" s="117" t="s">
        <v>7</v>
      </c>
      <c r="U36" s="128">
        <f>+(SUM(U33:U33)/$T$24)*X24099</f>
        <v>0</v>
      </c>
      <c r="Y36" s="112"/>
    </row>
    <row r="37" spans="1:30" x14ac:dyDescent="0.25">
      <c r="A37" s="102"/>
      <c r="B37" s="95"/>
      <c r="C37" s="101"/>
      <c r="D37" s="8"/>
      <c r="F37" s="8"/>
      <c r="K37" s="127"/>
      <c r="L37" s="127"/>
      <c r="X37" s="112" t="s">
        <v>44</v>
      </c>
      <c r="Y37" s="12">
        <f>XIRR(S24:S33,P24:P33)</f>
        <v>0.72339378595352177</v>
      </c>
    </row>
    <row r="38" spans="1:30" x14ac:dyDescent="0.25">
      <c r="B38" s="185"/>
      <c r="C38" s="57"/>
      <c r="K38" s="135">
        <f>SUM(K27:K37)</f>
        <v>253035607.44672233</v>
      </c>
      <c r="L38" s="135">
        <f>SUM(L27:L37)</f>
        <v>401242568</v>
      </c>
      <c r="Y38" s="12"/>
    </row>
  </sheetData>
  <protectedRanges>
    <protectedRange sqref="F10" name="Rango1"/>
    <protectedRange sqref="I10" name="Rango2"/>
    <protectedRange sqref="I14" name="Rango3"/>
  </protectedRanges>
  <mergeCells count="4">
    <mergeCell ref="P22:T22"/>
    <mergeCell ref="X22:Z22"/>
    <mergeCell ref="A5:I5"/>
    <mergeCell ref="B22:H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zoomScaleNormal="100" workbookViewId="0">
      <selection activeCell="AK11" sqref="AK11"/>
    </sheetView>
  </sheetViews>
  <sheetFormatPr baseColWidth="10" defaultRowHeight="15" x14ac:dyDescent="0.25"/>
  <cols>
    <col min="1" max="1" width="10.7109375" bestFit="1" customWidth="1"/>
    <col min="2" max="2" width="16.5703125" bestFit="1" customWidth="1"/>
    <col min="3" max="3" width="14.140625" bestFit="1" customWidth="1"/>
    <col min="4" max="4" width="12.7109375" customWidth="1"/>
    <col min="5" max="5" width="15" bestFit="1" customWidth="1"/>
    <col min="6" max="6" width="11.7109375" customWidth="1"/>
    <col min="7" max="7" width="10.85546875" bestFit="1" customWidth="1"/>
    <col min="8" max="8" width="11.85546875" customWidth="1"/>
    <col min="9" max="9" width="11" customWidth="1"/>
    <col min="10" max="10" width="16" style="139" bestFit="1" customWidth="1"/>
    <col min="11" max="11" width="16" style="139" hidden="1" customWidth="1"/>
    <col min="12" max="12" width="10.85546875" style="139" hidden="1" customWidth="1"/>
    <col min="13" max="13" width="16" style="139" hidden="1" customWidth="1"/>
    <col min="14" max="16" width="11.42578125" style="139" hidden="1" customWidth="1"/>
    <col min="17" max="17" width="12.7109375" style="139" hidden="1" customWidth="1"/>
    <col min="18" max="19" width="11.42578125" style="139" hidden="1" customWidth="1"/>
    <col min="20" max="21" width="13.85546875" style="139" hidden="1" customWidth="1"/>
    <col min="22" max="22" width="28.140625" style="139" hidden="1" customWidth="1"/>
    <col min="23" max="23" width="11.42578125" style="139" hidden="1" customWidth="1"/>
    <col min="24" max="24" width="15.42578125" style="139" hidden="1" customWidth="1"/>
    <col min="25" max="26" width="12.140625" style="139" hidden="1" customWidth="1"/>
    <col min="27" max="29" width="11.42578125" style="139" hidden="1" customWidth="1"/>
    <col min="30" max="30" width="15.7109375" style="139" hidden="1" customWidth="1"/>
    <col min="31" max="31" width="11.42578125" style="139" hidden="1" customWidth="1"/>
    <col min="32" max="32" width="14" style="139" hidden="1" customWidth="1"/>
    <col min="33" max="34" width="11.42578125" hidden="1" customWidth="1"/>
    <col min="35" max="35" width="10.85546875" hidden="1" customWidth="1"/>
    <col min="36" max="41" width="10.85546875" customWidth="1"/>
    <col min="42" max="64" width="11.42578125" customWidth="1"/>
  </cols>
  <sheetData>
    <row r="1" spans="1:35" s="4" customFormat="1" ht="12.75" x14ac:dyDescent="0.2">
      <c r="A1" s="1"/>
      <c r="B1" s="1"/>
      <c r="C1" s="2"/>
      <c r="D1" s="2"/>
      <c r="E1" s="2"/>
      <c r="F1" s="3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5" s="4" customFormat="1" ht="12.75" x14ac:dyDescent="0.2">
      <c r="A2" s="1"/>
      <c r="B2" s="1"/>
      <c r="C2" s="2"/>
      <c r="D2" s="2"/>
      <c r="E2" s="2"/>
      <c r="F2" s="3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5" s="7" customFormat="1" x14ac:dyDescent="0.25">
      <c r="A3" s="5"/>
      <c r="B3" s="5"/>
      <c r="C3" s="6"/>
      <c r="D3" s="6"/>
      <c r="E3" s="6"/>
      <c r="F3" s="5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</row>
    <row r="4" spans="1:35" s="7" customFormat="1" ht="54" customHeight="1" x14ac:dyDescent="0.25">
      <c r="A4" s="5"/>
      <c r="B4" s="5"/>
      <c r="C4" s="6"/>
      <c r="D4" s="6"/>
      <c r="E4" s="6"/>
      <c r="F4" s="5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</row>
    <row r="5" spans="1:35" s="7" customFormat="1" ht="12.75" customHeight="1" x14ac:dyDescent="0.2">
      <c r="A5" s="198" t="str">
        <f>+VDFA!A5</f>
        <v>FIDEICOMISO FINANCIERO "GRUPO AGROEMPRESA SERIE I" (PYME)</v>
      </c>
      <c r="B5" s="198"/>
      <c r="C5" s="198"/>
      <c r="D5" s="198"/>
      <c r="E5" s="198"/>
      <c r="F5" s="198"/>
      <c r="G5" s="198"/>
      <c r="H5" s="198"/>
      <c r="I5" s="198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35" s="7" customFormat="1" ht="12.75" customHeight="1" x14ac:dyDescent="0.2">
      <c r="A6" s="33"/>
      <c r="B6" s="33"/>
      <c r="C6" s="33"/>
      <c r="D6" s="33"/>
      <c r="E6" s="33"/>
      <c r="F6" s="33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</row>
    <row r="7" spans="1:35" s="7" customFormat="1" ht="12.75" hidden="1" customHeight="1" x14ac:dyDescent="0.2">
      <c r="A7" s="33"/>
      <c r="B7" s="33"/>
      <c r="C7" s="33"/>
      <c r="D7" s="33"/>
      <c r="E7" s="33"/>
      <c r="F7" s="33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</row>
    <row r="8" spans="1:35" hidden="1" x14ac:dyDescent="0.25">
      <c r="G8" s="8"/>
      <c r="H8" s="8"/>
      <c r="I8" s="8"/>
      <c r="J8" s="138"/>
      <c r="K8" s="138"/>
      <c r="L8" s="138"/>
      <c r="M8" s="138"/>
      <c r="N8" s="138"/>
      <c r="O8" s="138"/>
      <c r="P8" s="138"/>
    </row>
    <row r="9" spans="1:35" x14ac:dyDescent="0.25">
      <c r="G9" s="8"/>
      <c r="H9" s="8"/>
      <c r="I9" s="8"/>
      <c r="J9" s="138"/>
      <c r="K9" s="138"/>
      <c r="L9" s="138"/>
      <c r="M9" s="138"/>
      <c r="N9" s="138"/>
      <c r="O9" s="138"/>
      <c r="P9" s="138"/>
    </row>
    <row r="10" spans="1:35" ht="24" x14ac:dyDescent="0.25">
      <c r="B10" s="208" t="s">
        <v>0</v>
      </c>
      <c r="C10" s="9">
        <f>+VDFA!C10</f>
        <v>44564</v>
      </c>
      <c r="E10" s="208" t="s">
        <v>32</v>
      </c>
      <c r="F10" s="251">
        <f>+VDFA!F10</f>
        <v>0.42</v>
      </c>
      <c r="G10" s="227"/>
      <c r="H10" s="208" t="s">
        <v>7</v>
      </c>
      <c r="I10" s="252">
        <v>100</v>
      </c>
      <c r="J10" s="138"/>
      <c r="K10" s="138"/>
      <c r="L10" s="138"/>
      <c r="N10" s="138"/>
      <c r="O10" s="138"/>
      <c r="P10" s="138"/>
    </row>
    <row r="11" spans="1:35" x14ac:dyDescent="0.25">
      <c r="B11" s="208" t="s">
        <v>1</v>
      </c>
      <c r="C11" s="9">
        <f>+VDFA!C11</f>
        <v>44651</v>
      </c>
      <c r="E11" s="208" t="s">
        <v>33</v>
      </c>
      <c r="F11" s="228">
        <f>IF(V16&gt;T16,V16,T16)</f>
        <v>0.45</v>
      </c>
      <c r="G11" s="227"/>
      <c r="H11" s="208" t="s">
        <v>44</v>
      </c>
      <c r="I11" s="229">
        <f>XIRR(G24:G33,B24:B33)</f>
        <v>0.65934709906578071</v>
      </c>
      <c r="J11" s="138"/>
      <c r="K11" s="138"/>
      <c r="L11" s="138"/>
      <c r="N11" s="138"/>
      <c r="O11" s="138"/>
      <c r="P11" s="138"/>
    </row>
    <row r="12" spans="1:35" x14ac:dyDescent="0.25">
      <c r="B12" s="208" t="s">
        <v>35</v>
      </c>
      <c r="C12" s="52">
        <v>32649757</v>
      </c>
      <c r="F12" s="227"/>
      <c r="G12" s="227"/>
      <c r="H12" s="208" t="s">
        <v>3</v>
      </c>
      <c r="I12" s="230">
        <f>NOMINAL(I11,12)</f>
        <v>0.51726219685607777</v>
      </c>
      <c r="J12" s="164">
        <f>I12-F10</f>
        <v>9.7262196856077787E-2</v>
      </c>
      <c r="K12" s="164"/>
      <c r="L12" s="164"/>
      <c r="M12" s="138"/>
      <c r="N12" s="138"/>
      <c r="O12" s="138"/>
      <c r="P12" s="138"/>
      <c r="AI12" s="170">
        <f>+I12-F10</f>
        <v>9.7262196856077787E-2</v>
      </c>
    </row>
    <row r="13" spans="1:35" x14ac:dyDescent="0.25">
      <c r="B13" s="208" t="s">
        <v>28</v>
      </c>
      <c r="C13" s="36">
        <v>0.34</v>
      </c>
      <c r="E13" s="208" t="s">
        <v>4</v>
      </c>
      <c r="F13" s="231">
        <f>-AD34/T24/30</f>
        <v>5.5999999925143875</v>
      </c>
      <c r="G13" s="227"/>
      <c r="H13" s="227"/>
      <c r="I13" s="232"/>
      <c r="J13" s="138"/>
      <c r="K13" s="138"/>
      <c r="L13" s="138"/>
      <c r="M13" s="138"/>
      <c r="N13" s="138"/>
      <c r="O13" s="138"/>
      <c r="P13" s="138"/>
    </row>
    <row r="14" spans="1:35" x14ac:dyDescent="0.25">
      <c r="B14" s="208" t="s">
        <v>29</v>
      </c>
      <c r="C14" s="36">
        <v>0.54</v>
      </c>
      <c r="E14" s="208" t="s">
        <v>5</v>
      </c>
      <c r="F14" s="233" t="s">
        <v>6</v>
      </c>
      <c r="G14" s="227"/>
      <c r="H14" s="208" t="s">
        <v>34</v>
      </c>
      <c r="I14" s="255">
        <v>0.65934700000000002</v>
      </c>
      <c r="J14" s="138"/>
      <c r="K14" s="138"/>
      <c r="L14" s="138"/>
      <c r="M14" s="138"/>
      <c r="N14" s="138"/>
      <c r="O14" s="138"/>
      <c r="P14" s="138"/>
      <c r="Q14" s="110" t="s">
        <v>15</v>
      </c>
      <c r="R14" s="110" t="s">
        <v>2</v>
      </c>
      <c r="S14" s="110" t="s">
        <v>13</v>
      </c>
      <c r="T14" s="110" t="s">
        <v>16</v>
      </c>
      <c r="U14" s="110" t="s">
        <v>17</v>
      </c>
      <c r="V14" s="110" t="s">
        <v>18</v>
      </c>
    </row>
    <row r="15" spans="1:35" x14ac:dyDescent="0.25">
      <c r="B15" s="208" t="s">
        <v>30</v>
      </c>
      <c r="C15" s="36">
        <v>0.03</v>
      </c>
      <c r="F15" s="227"/>
      <c r="G15" s="227"/>
      <c r="H15" s="208" t="s">
        <v>44</v>
      </c>
      <c r="I15" s="234">
        <f>K36/C12*100</f>
        <v>100.0000026142406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</row>
    <row r="16" spans="1:35" x14ac:dyDescent="0.25">
      <c r="B16" s="208" t="s">
        <v>31</v>
      </c>
      <c r="C16" s="35" t="s">
        <v>61</v>
      </c>
      <c r="F16" s="227"/>
      <c r="G16" s="227"/>
      <c r="H16" s="208" t="s">
        <v>3</v>
      </c>
      <c r="I16" s="230">
        <f>NOMINAL(I14,12)</f>
        <v>0.51726213458096204</v>
      </c>
      <c r="J16" s="138"/>
      <c r="K16" s="138"/>
      <c r="L16" s="138"/>
      <c r="M16" s="138"/>
      <c r="N16" s="138"/>
      <c r="O16" s="138"/>
      <c r="P16" s="138"/>
      <c r="Q16" s="140">
        <f>F10</f>
        <v>0.42</v>
      </c>
      <c r="R16" s="140">
        <f>C15</f>
        <v>0.03</v>
      </c>
      <c r="S16" s="140">
        <f>Q16+R16</f>
        <v>0.44999999999999996</v>
      </c>
      <c r="T16" s="140">
        <f>C13</f>
        <v>0.34</v>
      </c>
      <c r="U16" s="140">
        <f>C14</f>
        <v>0.54</v>
      </c>
      <c r="V16" s="141">
        <f t="shared" ref="V16" si="0">ROUND(IF(S16&lt;U16,IF(S16&gt;T16,S16,T16),U16),6)</f>
        <v>0.45</v>
      </c>
    </row>
    <row r="17" spans="1:32" x14ac:dyDescent="0.25">
      <c r="F17" s="227"/>
      <c r="G17" s="227"/>
      <c r="H17" s="227"/>
      <c r="I17" s="227"/>
      <c r="J17" s="138"/>
      <c r="K17" s="138"/>
      <c r="L17" s="138"/>
      <c r="M17" s="138"/>
      <c r="N17" s="138"/>
      <c r="O17" s="138"/>
      <c r="P17" s="138"/>
    </row>
    <row r="18" spans="1:32" ht="24" x14ac:dyDescent="0.25">
      <c r="F18" s="227"/>
      <c r="G18" s="227"/>
      <c r="H18" s="208" t="s">
        <v>66</v>
      </c>
      <c r="I18" s="250">
        <f>+I12-F10</f>
        <v>9.7262196856077787E-2</v>
      </c>
      <c r="J18" s="138"/>
      <c r="K18" s="138"/>
      <c r="L18" s="138"/>
      <c r="M18" s="138"/>
      <c r="N18" s="138"/>
      <c r="O18" s="138"/>
      <c r="P18" s="138"/>
    </row>
    <row r="19" spans="1:32" x14ac:dyDescent="0.25">
      <c r="G19" s="8"/>
      <c r="H19" s="8"/>
      <c r="I19" s="8"/>
      <c r="J19" s="138"/>
      <c r="K19" s="138"/>
      <c r="L19" s="138"/>
      <c r="M19" s="138"/>
      <c r="N19" s="138"/>
      <c r="O19" s="138"/>
      <c r="P19" s="138"/>
    </row>
    <row r="20" spans="1:32" x14ac:dyDescent="0.25">
      <c r="G20" s="8"/>
      <c r="H20" s="8"/>
      <c r="I20" s="186"/>
      <c r="J20" s="138"/>
      <c r="K20" s="138"/>
      <c r="L20" s="138"/>
      <c r="M20" s="138"/>
      <c r="N20" s="138"/>
      <c r="O20" s="138"/>
      <c r="P20" s="138"/>
    </row>
    <row r="21" spans="1:32" ht="15.75" thickBot="1" x14ac:dyDescent="0.3">
      <c r="G21" s="8"/>
      <c r="H21" s="8"/>
      <c r="I21" s="186"/>
      <c r="J21" s="138"/>
      <c r="K21" s="138"/>
      <c r="L21" s="138"/>
      <c r="M21" s="138"/>
      <c r="N21" s="138"/>
      <c r="O21" s="138"/>
      <c r="P21" s="138"/>
    </row>
    <row r="22" spans="1:32" ht="15.75" thickBot="1" x14ac:dyDescent="0.3">
      <c r="B22" s="210" t="s">
        <v>64</v>
      </c>
      <c r="C22" s="210"/>
      <c r="D22" s="210"/>
      <c r="E22" s="210"/>
      <c r="F22" s="210"/>
      <c r="G22" s="210"/>
      <c r="H22" s="210"/>
      <c r="I22" s="8"/>
      <c r="J22" s="138"/>
      <c r="K22" s="138"/>
      <c r="L22" s="138"/>
      <c r="M22" s="138"/>
      <c r="N22" s="138"/>
      <c r="O22" s="138"/>
      <c r="P22" s="138"/>
      <c r="Q22" s="194" t="s">
        <v>26</v>
      </c>
      <c r="R22" s="195"/>
      <c r="S22" s="195"/>
      <c r="T22" s="195"/>
      <c r="U22" s="196"/>
      <c r="V22" s="15" t="s">
        <v>8</v>
      </c>
      <c r="Y22" s="199" t="s">
        <v>9</v>
      </c>
      <c r="Z22" s="199"/>
      <c r="AB22" s="200" t="s">
        <v>10</v>
      </c>
      <c r="AC22" s="200"/>
      <c r="AD22" s="200"/>
    </row>
    <row r="23" spans="1:32" ht="30" customHeight="1" thickBot="1" x14ac:dyDescent="0.3">
      <c r="B23" s="211" t="s">
        <v>11</v>
      </c>
      <c r="C23" s="212" t="s">
        <v>39</v>
      </c>
      <c r="D23" s="212" t="s">
        <v>38</v>
      </c>
      <c r="E23" s="212" t="s">
        <v>47</v>
      </c>
      <c r="F23" s="211" t="s">
        <v>46</v>
      </c>
      <c r="G23" s="211" t="s">
        <v>8</v>
      </c>
      <c r="H23" s="211" t="s">
        <v>37</v>
      </c>
      <c r="M23" s="142"/>
      <c r="P23" s="138"/>
      <c r="Q23" s="16" t="s">
        <v>11</v>
      </c>
      <c r="R23" s="17" t="s">
        <v>12</v>
      </c>
      <c r="S23" s="18" t="s">
        <v>45</v>
      </c>
      <c r="T23" s="18" t="s">
        <v>13</v>
      </c>
      <c r="U23" s="18" t="s">
        <v>14</v>
      </c>
      <c r="V23" s="16" t="s">
        <v>19</v>
      </c>
      <c r="X23" s="110" t="s">
        <v>20</v>
      </c>
      <c r="Y23" s="110" t="s">
        <v>21</v>
      </c>
      <c r="Z23" s="110" t="s">
        <v>22</v>
      </c>
      <c r="AB23" s="19" t="s">
        <v>23</v>
      </c>
      <c r="AC23" s="20" t="s">
        <v>24</v>
      </c>
      <c r="AD23" s="21" t="s">
        <v>25</v>
      </c>
    </row>
    <row r="24" spans="1:32" x14ac:dyDescent="0.25">
      <c r="B24" s="213">
        <f>C11</f>
        <v>44651</v>
      </c>
      <c r="C24" s="214"/>
      <c r="D24" s="215"/>
      <c r="E24" s="216"/>
      <c r="F24" s="216"/>
      <c r="G24" s="217">
        <f>-($H$24*I10)/100</f>
        <v>-32649757</v>
      </c>
      <c r="H24" s="216">
        <f>U24</f>
        <v>32649757</v>
      </c>
      <c r="M24" s="142"/>
      <c r="P24" s="138"/>
      <c r="Q24" s="154">
        <f>+B24</f>
        <v>44651</v>
      </c>
      <c r="R24" s="143"/>
      <c r="S24" s="143"/>
      <c r="T24" s="144">
        <f>+(-U24)</f>
        <v>-32649757</v>
      </c>
      <c r="U24" s="143">
        <f>+C12</f>
        <v>32649757</v>
      </c>
      <c r="V24" s="145"/>
      <c r="Y24" s="149">
        <f t="shared" ref="Y24" si="1">+Q24</f>
        <v>44651</v>
      </c>
      <c r="AB24" s="150"/>
      <c r="AC24" s="146"/>
      <c r="AD24" s="147"/>
    </row>
    <row r="25" spans="1:32" hidden="1" x14ac:dyDescent="0.25">
      <c r="A25" s="100"/>
      <c r="B25" s="213"/>
      <c r="C25" s="214"/>
      <c r="D25" s="215"/>
      <c r="E25" s="216"/>
      <c r="F25" s="216"/>
      <c r="G25" s="216">
        <f t="shared" ref="G25:G30" si="2">+F25+E25</f>
        <v>0</v>
      </c>
      <c r="H25" s="216">
        <f>+H24-E25</f>
        <v>32649757</v>
      </c>
      <c r="I25" s="8"/>
      <c r="J25" s="138"/>
      <c r="K25" s="138"/>
      <c r="L25" s="138"/>
      <c r="M25" s="180" t="e">
        <f>G34/((1+I14)^((#REF!-B24)/365))</f>
        <v>#REF!</v>
      </c>
      <c r="N25" s="138"/>
      <c r="O25" s="138"/>
      <c r="P25" s="138"/>
      <c r="Q25" s="154"/>
      <c r="R25" s="144"/>
      <c r="S25" s="144"/>
      <c r="T25" s="144"/>
      <c r="U25" s="144">
        <f>U24-S25</f>
        <v>32649757</v>
      </c>
      <c r="V25" s="148"/>
      <c r="Y25" s="149">
        <f t="shared" ref="Y25:Y28" si="3">+Q25</f>
        <v>0</v>
      </c>
      <c r="AB25" s="150">
        <f t="shared" ref="AB25:AB28" si="4">+Q25-$Q$24</f>
        <v>-44651</v>
      </c>
      <c r="AC25" s="151">
        <f t="shared" ref="AC25:AC33" si="5">1/((1+$AC$37)^(AB25/365))</f>
        <v>8.0399626795199336E+26</v>
      </c>
      <c r="AD25" s="152">
        <f t="shared" ref="AD25:AD28" si="6">+T25*AB25*AC25</f>
        <v>0</v>
      </c>
      <c r="AF25" s="153"/>
    </row>
    <row r="26" spans="1:32" hidden="1" x14ac:dyDescent="0.25">
      <c r="A26" s="100"/>
      <c r="B26" s="213"/>
      <c r="C26" s="214"/>
      <c r="D26" s="215"/>
      <c r="E26" s="216"/>
      <c r="F26" s="216"/>
      <c r="G26" s="216">
        <f t="shared" si="2"/>
        <v>0</v>
      </c>
      <c r="H26" s="216">
        <f t="shared" ref="H26:H27" si="7">+H25-E26</f>
        <v>32649757</v>
      </c>
      <c r="I26" s="8"/>
      <c r="J26" s="138"/>
      <c r="K26" s="113" t="s">
        <v>49</v>
      </c>
      <c r="L26" s="138"/>
      <c r="M26" s="138"/>
      <c r="N26" s="138"/>
      <c r="O26" s="138"/>
      <c r="P26" s="138"/>
      <c r="Q26" s="154"/>
      <c r="R26" s="144"/>
      <c r="S26" s="144"/>
      <c r="T26" s="144"/>
      <c r="U26" s="144">
        <f t="shared" ref="U26" si="8">U25-S26</f>
        <v>32649757</v>
      </c>
      <c r="V26" s="27"/>
      <c r="Y26" s="149">
        <f t="shared" si="3"/>
        <v>0</v>
      </c>
      <c r="AB26" s="150">
        <f t="shared" si="4"/>
        <v>-44651</v>
      </c>
      <c r="AC26" s="151">
        <f t="shared" si="5"/>
        <v>8.0399626795199336E+26</v>
      </c>
      <c r="AD26" s="152">
        <f t="shared" si="6"/>
        <v>0</v>
      </c>
      <c r="AF26" s="153"/>
    </row>
    <row r="27" spans="1:32" hidden="1" x14ac:dyDescent="0.25">
      <c r="A27" s="102">
        <v>44346</v>
      </c>
      <c r="B27" s="213"/>
      <c r="C27" s="214"/>
      <c r="D27" s="215"/>
      <c r="E27" s="218"/>
      <c r="F27" s="216"/>
      <c r="G27" s="216">
        <f t="shared" si="2"/>
        <v>0</v>
      </c>
      <c r="H27" s="216">
        <f t="shared" si="7"/>
        <v>32649757</v>
      </c>
      <c r="I27" s="8"/>
      <c r="J27" s="138"/>
      <c r="K27" s="113"/>
      <c r="L27" s="138"/>
      <c r="M27" s="138" t="s">
        <v>55</v>
      </c>
      <c r="N27" s="138" t="s">
        <v>54</v>
      </c>
      <c r="O27" s="138"/>
      <c r="P27" s="138" t="s">
        <v>58</v>
      </c>
      <c r="Q27" s="154"/>
      <c r="R27" s="144"/>
      <c r="S27" s="144"/>
      <c r="T27" s="144"/>
      <c r="U27" s="144">
        <f>+U26-R27</f>
        <v>32649757</v>
      </c>
      <c r="V27" s="27"/>
      <c r="Y27" s="149">
        <f t="shared" si="3"/>
        <v>0</v>
      </c>
      <c r="AB27" s="150">
        <f t="shared" si="4"/>
        <v>-44651</v>
      </c>
      <c r="AC27" s="151">
        <f t="shared" si="5"/>
        <v>8.0399626795199336E+26</v>
      </c>
      <c r="AD27" s="152">
        <f t="shared" si="6"/>
        <v>0</v>
      </c>
      <c r="AF27" s="153"/>
    </row>
    <row r="28" spans="1:32" hidden="1" x14ac:dyDescent="0.25">
      <c r="A28" s="102">
        <v>44377</v>
      </c>
      <c r="B28" s="213"/>
      <c r="C28" s="219"/>
      <c r="D28" s="220"/>
      <c r="E28" s="221"/>
      <c r="F28" s="216"/>
      <c r="G28" s="216">
        <f t="shared" si="2"/>
        <v>0</v>
      </c>
      <c r="H28" s="216">
        <f>+H27-E28</f>
        <v>32649757</v>
      </c>
      <c r="I28" s="8"/>
      <c r="K28" s="127">
        <f>G28/((1+$I$14)^((B28-$B$24)/365))</f>
        <v>0</v>
      </c>
      <c r="L28" s="138"/>
      <c r="M28" s="160"/>
      <c r="N28" s="160"/>
      <c r="O28" s="174">
        <v>44607</v>
      </c>
      <c r="P28" s="160">
        <v>0</v>
      </c>
      <c r="Q28" s="154"/>
      <c r="R28" s="144"/>
      <c r="S28" s="144"/>
      <c r="T28" s="144"/>
      <c r="U28" s="144">
        <f>+U27-R28</f>
        <v>32649757</v>
      </c>
      <c r="V28" s="27"/>
      <c r="Y28" s="149">
        <f t="shared" si="3"/>
        <v>0</v>
      </c>
      <c r="AB28" s="150">
        <f t="shared" si="4"/>
        <v>-44651</v>
      </c>
      <c r="AC28" s="151">
        <f t="shared" si="5"/>
        <v>8.0399626795199336E+26</v>
      </c>
      <c r="AD28" s="152">
        <f t="shared" si="6"/>
        <v>0</v>
      </c>
      <c r="AF28" s="153"/>
    </row>
    <row r="29" spans="1:32" hidden="1" x14ac:dyDescent="0.25">
      <c r="A29" s="102">
        <v>44377</v>
      </c>
      <c r="B29" s="213">
        <v>44697</v>
      </c>
      <c r="C29" s="214"/>
      <c r="D29" s="222"/>
      <c r="E29" s="217"/>
      <c r="F29" s="216"/>
      <c r="G29" s="216">
        <f t="shared" si="2"/>
        <v>0</v>
      </c>
      <c r="H29" s="216">
        <f t="shared" ref="H29:H30" si="9">+H28-E29</f>
        <v>32649757</v>
      </c>
      <c r="I29" s="8"/>
      <c r="K29" s="127">
        <f t="shared" ref="K29:K30" si="10">G29/((1+$I$14)^((B29-$B$24)/365))</f>
        <v>0</v>
      </c>
      <c r="L29" s="138"/>
      <c r="M29" s="160"/>
      <c r="N29" s="160"/>
      <c r="O29" s="174">
        <v>44607</v>
      </c>
      <c r="P29" s="160">
        <v>0</v>
      </c>
      <c r="Q29" s="154"/>
      <c r="R29" s="144"/>
      <c r="S29" s="144"/>
      <c r="T29" s="144"/>
      <c r="U29" s="144">
        <f t="shared" ref="U29:U30" si="11">+U28-R29</f>
        <v>32649757</v>
      </c>
      <c r="V29" s="27"/>
      <c r="Y29" s="149">
        <f t="shared" ref="Y29:Y30" si="12">+Q29</f>
        <v>0</v>
      </c>
      <c r="AB29" s="150">
        <f t="shared" ref="AB29:AB30" si="13">+Q29-$Q$24</f>
        <v>-44651</v>
      </c>
      <c r="AC29" s="151">
        <f t="shared" si="5"/>
        <v>8.0399626795199336E+26</v>
      </c>
      <c r="AD29" s="152">
        <f t="shared" ref="AD29:AD30" si="14">+T29*AB29*AC29</f>
        <v>0</v>
      </c>
      <c r="AF29" s="153"/>
    </row>
    <row r="30" spans="1:32" hidden="1" x14ac:dyDescent="0.25">
      <c r="A30" s="102">
        <v>44377</v>
      </c>
      <c r="B30" s="213">
        <v>44727</v>
      </c>
      <c r="C30" s="214"/>
      <c r="D30" s="222"/>
      <c r="E30" s="217"/>
      <c r="F30" s="216"/>
      <c r="G30" s="216">
        <f t="shared" si="2"/>
        <v>0</v>
      </c>
      <c r="H30" s="216">
        <f t="shared" si="9"/>
        <v>32649757</v>
      </c>
      <c r="I30" s="8"/>
      <c r="K30" s="127">
        <f t="shared" si="10"/>
        <v>0</v>
      </c>
      <c r="L30" s="138"/>
      <c r="M30" s="160">
        <f t="shared" ref="M30:M31" si="15">+N30-G30</f>
        <v>0</v>
      </c>
      <c r="N30" s="160">
        <f>+VDFA!N30-VDFA!G30</f>
        <v>0</v>
      </c>
      <c r="O30" s="174">
        <v>44607</v>
      </c>
      <c r="P30" s="160">
        <v>0</v>
      </c>
      <c r="Q30" s="154"/>
      <c r="R30" s="144"/>
      <c r="S30" s="144"/>
      <c r="T30" s="144"/>
      <c r="U30" s="144">
        <f t="shared" si="11"/>
        <v>32649757</v>
      </c>
      <c r="V30" s="27"/>
      <c r="Y30" s="149">
        <f t="shared" si="12"/>
        <v>0</v>
      </c>
      <c r="AB30" s="150">
        <f t="shared" si="13"/>
        <v>-44651</v>
      </c>
      <c r="AC30" s="151">
        <f t="shared" si="5"/>
        <v>8.0399626795199336E+26</v>
      </c>
      <c r="AD30" s="152">
        <f t="shared" si="14"/>
        <v>0</v>
      </c>
      <c r="AF30" s="153"/>
    </row>
    <row r="31" spans="1:32" hidden="1" x14ac:dyDescent="0.25">
      <c r="A31" s="183">
        <v>30</v>
      </c>
      <c r="B31" s="213">
        <v>44757</v>
      </c>
      <c r="C31" s="214"/>
      <c r="D31" s="222"/>
      <c r="E31" s="217"/>
      <c r="F31" s="216"/>
      <c r="G31" s="216">
        <f t="shared" ref="G31" si="16">+F31+E31</f>
        <v>0</v>
      </c>
      <c r="H31" s="216">
        <f>+H30-E31</f>
        <v>32649757</v>
      </c>
      <c r="I31" s="8"/>
      <c r="J31" s="138"/>
      <c r="K31" s="127">
        <f>G31/((1+$I$14)^((B31-$B$24)/365))</f>
        <v>0</v>
      </c>
      <c r="L31" s="138"/>
      <c r="M31" s="160">
        <f t="shared" si="15"/>
        <v>0</v>
      </c>
      <c r="N31" s="160">
        <f>+VDFA!N31-VDFA!G31</f>
        <v>0</v>
      </c>
      <c r="O31" s="174">
        <v>44362</v>
      </c>
      <c r="P31" s="160">
        <v>24826557</v>
      </c>
      <c r="Q31" s="154">
        <f t="shared" ref="Q31" si="17">+B31</f>
        <v>44757</v>
      </c>
      <c r="R31" s="144">
        <f t="shared" ref="R31" si="18">+E31</f>
        <v>0</v>
      </c>
      <c r="S31" s="144">
        <f t="shared" ref="S31" si="19">+F31</f>
        <v>0</v>
      </c>
      <c r="T31" s="144">
        <f t="shared" ref="T31" si="20">+S31+R31</f>
        <v>0</v>
      </c>
      <c r="U31" s="144">
        <f t="shared" ref="U31" si="21">+U30-R31</f>
        <v>32649757</v>
      </c>
      <c r="V31" s="27"/>
      <c r="Y31" s="149">
        <f t="shared" ref="Y31" si="22">+Q31</f>
        <v>44757</v>
      </c>
      <c r="AB31" s="150">
        <f>+Q31-$Q$24</f>
        <v>106</v>
      </c>
      <c r="AC31" s="151">
        <f t="shared" si="5"/>
        <v>0.86323256419189032</v>
      </c>
      <c r="AD31" s="152">
        <f>+T31*AB31*AC31</f>
        <v>0</v>
      </c>
      <c r="AF31" s="153"/>
    </row>
    <row r="32" spans="1:32" hidden="1" x14ac:dyDescent="0.25">
      <c r="A32" s="183">
        <v>30</v>
      </c>
      <c r="B32" s="213">
        <v>44788</v>
      </c>
      <c r="C32" s="214"/>
      <c r="D32" s="222"/>
      <c r="E32" s="217"/>
      <c r="F32" s="216"/>
      <c r="G32" s="216">
        <f t="shared" ref="G32" si="23">+F32+E32</f>
        <v>0</v>
      </c>
      <c r="H32" s="216">
        <f t="shared" ref="H32" si="24">+H31-E32</f>
        <v>32649757</v>
      </c>
      <c r="I32" s="8"/>
      <c r="J32" s="138"/>
      <c r="K32" s="127">
        <f t="shared" ref="K32" si="25">G32/((1+$I$14)^((B32-$B$24)/365))</f>
        <v>0</v>
      </c>
      <c r="L32" s="138"/>
      <c r="M32" s="160">
        <f>+N32-G32</f>
        <v>0</v>
      </c>
      <c r="N32" s="160">
        <f>+VDFA!N32-VDFA!G32</f>
        <v>0</v>
      </c>
      <c r="O32" s="174">
        <v>44362</v>
      </c>
      <c r="P32" s="160">
        <v>24826557</v>
      </c>
      <c r="Q32" s="154">
        <f t="shared" ref="Q32:Q33" si="26">+B32</f>
        <v>44788</v>
      </c>
      <c r="R32" s="144">
        <f t="shared" ref="R32" si="27">+E32</f>
        <v>0</v>
      </c>
      <c r="S32" s="144">
        <f t="shared" ref="S32" si="28">+F32</f>
        <v>0</v>
      </c>
      <c r="T32" s="144">
        <f t="shared" ref="T32" si="29">+S32+R32</f>
        <v>0</v>
      </c>
      <c r="U32" s="144">
        <f t="shared" ref="U32" si="30">+U31-R32</f>
        <v>32649757</v>
      </c>
      <c r="V32" s="27"/>
      <c r="Y32" s="149">
        <f t="shared" ref="Y32" si="31">+Q32</f>
        <v>44788</v>
      </c>
      <c r="AB32" s="150">
        <f t="shared" ref="AB32" si="32">+Q32-$Q$24</f>
        <v>137</v>
      </c>
      <c r="AC32" s="151">
        <f t="shared" si="5"/>
        <v>0.8268909025878618</v>
      </c>
      <c r="AD32" s="152">
        <f t="shared" ref="AD32" si="33">+T32*AB32*AC32</f>
        <v>0</v>
      </c>
    </row>
    <row r="33" spans="2:30" ht="15.75" thickBot="1" x14ac:dyDescent="0.3">
      <c r="B33" s="213">
        <v>44819</v>
      </c>
      <c r="C33" s="214">
        <v>210</v>
      </c>
      <c r="D33" s="222">
        <f>+IF(OR(AND((F11&gt;C13),F11&lt;C14),F11=C14,F11=C13),F11,IF(F11&gt;C14,C14,C13))</f>
        <v>0.45</v>
      </c>
      <c r="E33" s="217">
        <f t="shared" ref="E33" si="34">+MIN(IF(F33&gt;0,N33-F33,0),H32)</f>
        <v>32649757</v>
      </c>
      <c r="F33" s="216">
        <f>+IF(H32*D33/360*C33&lt;=N33,H32*D33/360*C33,0)</f>
        <v>8570561.2125000004</v>
      </c>
      <c r="G33" s="216">
        <f t="shared" ref="G33" si="35">+F33+E33</f>
        <v>41220318.212499999</v>
      </c>
      <c r="H33" s="216">
        <f t="shared" ref="H33" si="36">+H32-E33</f>
        <v>0</v>
      </c>
      <c r="K33" s="127">
        <f>G33/((1+$I$14)^((B33-$B$24)/365))</f>
        <v>32649757.853543203</v>
      </c>
      <c r="M33" s="160">
        <f>+N33-G33</f>
        <v>41318912.799366124</v>
      </c>
      <c r="N33" s="187">
        <f>+VDFA!N33-VDFA!G33</f>
        <v>82539231.011866122</v>
      </c>
      <c r="O33" s="174"/>
      <c r="Q33" s="154">
        <f t="shared" si="26"/>
        <v>44819</v>
      </c>
      <c r="R33" s="144">
        <f t="shared" ref="R33" si="37">+E33</f>
        <v>32649757</v>
      </c>
      <c r="S33" s="144">
        <f t="shared" ref="S33" si="38">+F33</f>
        <v>8570561.2125000004</v>
      </c>
      <c r="T33" s="144">
        <f t="shared" ref="T33" si="39">+S33+R33</f>
        <v>41220318.212499999</v>
      </c>
      <c r="U33" s="144"/>
      <c r="V33" s="27"/>
      <c r="X33" s="139">
        <f>DAYS360(Y33,Z33)</f>
        <v>0</v>
      </c>
      <c r="Y33" s="149"/>
      <c r="Z33" s="149"/>
      <c r="AB33" s="150">
        <f>+B33-$B$24</f>
        <v>168</v>
      </c>
      <c r="AC33" s="151">
        <f t="shared" si="5"/>
        <v>0.79207920686200672</v>
      </c>
      <c r="AD33" s="152">
        <f>+T33*AB33*AC33</f>
        <v>5485159168.6678972</v>
      </c>
    </row>
    <row r="34" spans="2:30" ht="15.75" thickBot="1" x14ac:dyDescent="0.3">
      <c r="B34" s="223" t="s">
        <v>13</v>
      </c>
      <c r="C34" s="224">
        <f>+SUM(C32:C33)</f>
        <v>210</v>
      </c>
      <c r="D34" s="216"/>
      <c r="E34" s="224">
        <f>+SUM(E32:E33)</f>
        <v>32649757</v>
      </c>
      <c r="F34" s="224">
        <f>+SUM(F32:F33)</f>
        <v>8570561.2125000004</v>
      </c>
      <c r="G34" s="224">
        <f>+SUM(G32:G33)</f>
        <v>41220318.212499999</v>
      </c>
      <c r="H34" s="225"/>
      <c r="K34" s="113"/>
      <c r="M34" s="160"/>
      <c r="N34" s="160"/>
      <c r="Q34" s="28" t="s">
        <v>13</v>
      </c>
      <c r="R34" s="29">
        <f>SUM(R25:R33)</f>
        <v>32649757</v>
      </c>
      <c r="S34" s="29">
        <f>SUM(S25:S33)</f>
        <v>8570561.2125000004</v>
      </c>
      <c r="T34" s="29">
        <f>SUM(T25:T33)</f>
        <v>41220318.212499999</v>
      </c>
      <c r="U34" s="29"/>
      <c r="V34" s="158"/>
      <c r="AB34" s="155"/>
      <c r="AC34" s="156"/>
      <c r="AD34" s="157">
        <f>SUM(AD24:AD33)</f>
        <v>5485159168.6678972</v>
      </c>
    </row>
    <row r="35" spans="2:30" x14ac:dyDescent="0.25">
      <c r="K35" s="127"/>
    </row>
    <row r="36" spans="2:30" ht="15.75" thickBot="1" x14ac:dyDescent="0.3">
      <c r="K36" s="135">
        <f>SUM(K28:K35)</f>
        <v>32649757.853543203</v>
      </c>
      <c r="U36" s="17" t="s">
        <v>7</v>
      </c>
      <c r="V36" s="32" t="e">
        <f>+(SUM(#REF!)/$U$24)*100</f>
        <v>#REF!</v>
      </c>
      <c r="AC36" s="138"/>
    </row>
    <row r="37" spans="2:30" x14ac:dyDescent="0.25">
      <c r="X37" s="149"/>
      <c r="AC37" s="12">
        <f>XIRR(T24:T33,Q24:Q33)</f>
        <v>0.65934709906578071</v>
      </c>
    </row>
  </sheetData>
  <protectedRanges>
    <protectedRange sqref="F10" name="Rango1"/>
    <protectedRange sqref="I10" name="Rango2"/>
    <protectedRange sqref="I14" name="Rango3"/>
  </protectedRanges>
  <mergeCells count="5">
    <mergeCell ref="A5:I5"/>
    <mergeCell ref="Q22:U22"/>
    <mergeCell ref="Y22:Z22"/>
    <mergeCell ref="AB22:AD22"/>
    <mergeCell ref="B22:H22"/>
  </mergeCells>
  <pageMargins left="0.7" right="0.7" top="0.75" bottom="0.75" header="0.3" footer="0.3"/>
  <pageSetup paperSize="9" orientation="portrait" r:id="rId1"/>
  <ignoredErrors>
    <ignoredError sqref="F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GridLines="0" zoomScaleNormal="100" workbookViewId="0">
      <selection activeCell="M33" sqref="M33"/>
    </sheetView>
  </sheetViews>
  <sheetFormatPr baseColWidth="10" defaultRowHeight="15" x14ac:dyDescent="0.25"/>
  <cols>
    <col min="1" max="1" width="10.7109375" bestFit="1" customWidth="1"/>
    <col min="2" max="2" width="13.140625" bestFit="1" customWidth="1"/>
    <col min="3" max="3" width="13.42578125" bestFit="1" customWidth="1"/>
    <col min="4" max="4" width="12.42578125" bestFit="1" customWidth="1"/>
    <col min="5" max="5" width="15" bestFit="1" customWidth="1"/>
    <col min="6" max="6" width="15.7109375" customWidth="1"/>
    <col min="7" max="7" width="11.140625" bestFit="1" customWidth="1"/>
    <col min="8" max="8" width="12" bestFit="1" customWidth="1"/>
    <col min="9" max="9" width="13.42578125" bestFit="1" customWidth="1"/>
    <col min="10" max="11" width="12.140625" customWidth="1"/>
    <col min="12" max="12" width="16" customWidth="1"/>
    <col min="13" max="13" width="10.85546875" customWidth="1"/>
    <col min="14" max="15" width="11.42578125" customWidth="1"/>
    <col min="16" max="16" width="12.7109375" style="66" customWidth="1"/>
    <col min="17" max="18" width="11.42578125" style="66" customWidth="1"/>
    <col min="19" max="20" width="13.85546875" style="66" customWidth="1"/>
    <col min="21" max="21" width="17" style="66" customWidth="1"/>
    <col min="22" max="25" width="11.42578125" style="66" customWidth="1"/>
    <col min="26" max="26" width="15.7109375" style="66" customWidth="1"/>
    <col min="27" max="27" width="11.42578125" style="66" customWidth="1"/>
    <col min="28" max="28" width="13.42578125" style="66" customWidth="1"/>
    <col min="29" max="39" width="10.85546875" customWidth="1"/>
    <col min="40" max="41" width="11.42578125" customWidth="1"/>
  </cols>
  <sheetData>
    <row r="1" spans="1:28" s="4" customFormat="1" ht="12.75" x14ac:dyDescent="0.2">
      <c r="A1" s="1"/>
      <c r="B1" s="1"/>
      <c r="C1" s="2"/>
      <c r="D1" s="2"/>
      <c r="E1" s="2"/>
      <c r="F1" s="3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s="4" customFormat="1" ht="12.75" x14ac:dyDescent="0.2">
      <c r="A2" s="1"/>
      <c r="B2" s="1"/>
      <c r="C2" s="2"/>
      <c r="D2" s="2"/>
      <c r="E2" s="2"/>
      <c r="F2" s="3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s="7" customFormat="1" x14ac:dyDescent="0.25">
      <c r="A3" s="5"/>
      <c r="B3" s="5"/>
      <c r="C3" s="6"/>
      <c r="D3" s="6"/>
      <c r="E3" s="6"/>
      <c r="F3" s="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s="7" customFormat="1" ht="54" customHeight="1" x14ac:dyDescent="0.25">
      <c r="A4" s="5"/>
      <c r="B4" s="5"/>
      <c r="C4" s="6"/>
      <c r="D4" s="6"/>
      <c r="E4" s="6"/>
      <c r="F4" s="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7" customFormat="1" ht="12.75" customHeight="1" x14ac:dyDescent="0.2">
      <c r="A5" s="198" t="str">
        <f>+VDFA!A5</f>
        <v>FIDEICOMISO FINANCIERO "GRUPO AGROEMPRESA SERIE I" (PYME)</v>
      </c>
      <c r="B5" s="198"/>
      <c r="C5" s="198"/>
      <c r="D5" s="198"/>
      <c r="E5" s="198"/>
      <c r="F5" s="198"/>
      <c r="G5" s="198"/>
      <c r="H5" s="198"/>
      <c r="I5" s="19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7" customFormat="1" ht="12.75" customHeight="1" x14ac:dyDescent="0.2">
      <c r="A6" s="33"/>
      <c r="B6" s="33"/>
      <c r="C6" s="33"/>
      <c r="D6" s="33"/>
      <c r="E6" s="33"/>
      <c r="F6" s="33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7" customFormat="1" ht="12.75" hidden="1" customHeight="1" x14ac:dyDescent="0.2">
      <c r="A7" s="33"/>
      <c r="B7" s="33"/>
      <c r="C7" s="33"/>
      <c r="D7" s="33"/>
      <c r="E7" s="33"/>
      <c r="F7" s="33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hidden="1" x14ac:dyDescent="0.25">
      <c r="G8" s="8"/>
      <c r="H8" s="8"/>
      <c r="I8" s="8"/>
      <c r="J8" s="8"/>
      <c r="K8" s="8"/>
      <c r="L8" s="8"/>
      <c r="M8" s="8"/>
      <c r="N8" s="8"/>
      <c r="O8" s="8"/>
    </row>
    <row r="9" spans="1:28" x14ac:dyDescent="0.25">
      <c r="G9" s="8"/>
      <c r="H9" s="8"/>
      <c r="I9" s="8"/>
      <c r="J9" s="8"/>
      <c r="K9" s="8"/>
      <c r="L9" s="8"/>
      <c r="M9" s="8"/>
      <c r="N9" s="8"/>
      <c r="O9" s="8"/>
    </row>
    <row r="10" spans="1:28" x14ac:dyDescent="0.25">
      <c r="B10" s="41" t="s">
        <v>0</v>
      </c>
      <c r="C10" s="9">
        <f>+VDFB!C10</f>
        <v>44564</v>
      </c>
      <c r="E10" s="41"/>
      <c r="F10" s="40"/>
      <c r="G10" s="8"/>
      <c r="H10" s="37" t="s">
        <v>7</v>
      </c>
      <c r="I10" s="44">
        <v>0</v>
      </c>
      <c r="J10" s="8"/>
      <c r="K10" s="8"/>
      <c r="M10" s="8"/>
      <c r="N10" s="8"/>
      <c r="O10" s="8"/>
    </row>
    <row r="11" spans="1:28" x14ac:dyDescent="0.25">
      <c r="B11" s="10" t="s">
        <v>1</v>
      </c>
      <c r="C11" s="9">
        <f>+VDFB!C11</f>
        <v>44651</v>
      </c>
      <c r="E11" s="42" t="s">
        <v>33</v>
      </c>
      <c r="F11" s="34">
        <f>C13</f>
        <v>0.33</v>
      </c>
      <c r="G11" s="8"/>
      <c r="H11" s="13" t="s">
        <v>34</v>
      </c>
      <c r="I11" s="133" t="e">
        <f>XIRR(G24:G34,B24:B34)</f>
        <v>#NUM!</v>
      </c>
      <c r="J11" s="8"/>
      <c r="K11" s="8"/>
      <c r="M11" s="8"/>
      <c r="N11" s="8"/>
      <c r="O11" s="8"/>
    </row>
    <row r="12" spans="1:28" x14ac:dyDescent="0.25">
      <c r="B12" s="10" t="s">
        <v>40</v>
      </c>
      <c r="C12" s="49">
        <v>0</v>
      </c>
      <c r="G12" s="8"/>
      <c r="H12" s="13" t="s">
        <v>3</v>
      </c>
      <c r="I12" s="11" t="e">
        <f>NOMINAL(I11,12)</f>
        <v>#NUM!</v>
      </c>
      <c r="J12" s="8"/>
      <c r="K12" s="8"/>
      <c r="L12" s="8"/>
      <c r="M12" s="8"/>
      <c r="N12" s="8"/>
      <c r="O12" s="8"/>
    </row>
    <row r="13" spans="1:28" x14ac:dyDescent="0.25">
      <c r="B13" s="10" t="s">
        <v>36</v>
      </c>
      <c r="C13" s="50">
        <v>0.33</v>
      </c>
      <c r="E13" s="43" t="s">
        <v>4</v>
      </c>
      <c r="F13" s="39" t="e">
        <f>-Z35/S24/30</f>
        <v>#NUM!</v>
      </c>
      <c r="G13" s="8"/>
      <c r="H13" s="8"/>
      <c r="I13" s="45"/>
      <c r="J13" s="8"/>
      <c r="K13" s="8"/>
      <c r="L13" s="8"/>
      <c r="M13" s="8"/>
      <c r="N13" s="8"/>
      <c r="O13" s="8"/>
    </row>
    <row r="14" spans="1:28" x14ac:dyDescent="0.25">
      <c r="B14" s="42" t="s">
        <v>31</v>
      </c>
      <c r="C14" s="51" t="s">
        <v>50</v>
      </c>
      <c r="E14" s="42" t="s">
        <v>5</v>
      </c>
      <c r="F14" s="14" t="s">
        <v>6</v>
      </c>
      <c r="G14" s="8"/>
      <c r="H14" s="37" t="s">
        <v>34</v>
      </c>
      <c r="I14" s="98">
        <v>0.417989</v>
      </c>
      <c r="J14" s="8"/>
      <c r="K14" s="8"/>
      <c r="L14" s="8"/>
      <c r="M14" s="8"/>
      <c r="N14" s="8"/>
      <c r="O14" s="8"/>
    </row>
    <row r="15" spans="1:28" x14ac:dyDescent="0.25">
      <c r="B15" s="38"/>
      <c r="C15" s="48"/>
      <c r="G15" s="8"/>
      <c r="H15" s="13" t="s">
        <v>7</v>
      </c>
      <c r="I15" s="46" t="e">
        <f>K33/C12*100</f>
        <v>#DIV/0!</v>
      </c>
      <c r="J15" s="8"/>
      <c r="K15" s="8"/>
      <c r="L15" s="8"/>
      <c r="M15" s="8"/>
      <c r="N15" s="8"/>
      <c r="O15" s="8"/>
      <c r="P15" s="67" t="s">
        <v>15</v>
      </c>
      <c r="Q15" s="67" t="s">
        <v>2</v>
      </c>
      <c r="R15" s="67" t="s">
        <v>13</v>
      </c>
      <c r="S15" s="67" t="s">
        <v>16</v>
      </c>
      <c r="T15" s="67" t="s">
        <v>17</v>
      </c>
      <c r="U15" s="67" t="s">
        <v>18</v>
      </c>
    </row>
    <row r="16" spans="1:28" x14ac:dyDescent="0.25">
      <c r="G16" s="8"/>
      <c r="H16" s="13" t="s">
        <v>3</v>
      </c>
      <c r="I16" s="11">
        <f>NOMINAL(I14,12)</f>
        <v>0.35437134710256224</v>
      </c>
      <c r="J16" s="8"/>
      <c r="K16" s="8"/>
      <c r="L16" s="8"/>
      <c r="M16" s="8"/>
      <c r="N16" s="8"/>
      <c r="O16" s="8"/>
      <c r="P16" s="68"/>
      <c r="Q16" s="68"/>
      <c r="R16" s="68"/>
      <c r="S16" s="68"/>
      <c r="T16" s="68"/>
      <c r="U16" s="68"/>
    </row>
    <row r="17" spans="1:28" x14ac:dyDescent="0.25">
      <c r="G17" s="8"/>
      <c r="I17" s="8"/>
      <c r="J17" s="8"/>
      <c r="K17" s="8"/>
      <c r="L17" s="8"/>
      <c r="M17" s="8"/>
      <c r="N17" s="8"/>
      <c r="O17" s="8"/>
      <c r="P17" s="68"/>
      <c r="Q17" s="68"/>
      <c r="R17" s="68"/>
      <c r="S17" s="68"/>
      <c r="T17" s="68"/>
      <c r="U17" s="68"/>
    </row>
    <row r="18" spans="1:28" ht="18.95" hidden="1" customHeight="1" x14ac:dyDescent="0.25">
      <c r="G18" s="8"/>
      <c r="H18" s="8"/>
      <c r="I18" s="8"/>
      <c r="J18" s="8"/>
      <c r="K18" s="8"/>
      <c r="L18" s="8"/>
      <c r="M18" s="8"/>
      <c r="N18" s="8"/>
      <c r="O18" s="8"/>
      <c r="P18" s="69">
        <f>F10</f>
        <v>0</v>
      </c>
      <c r="Q18" s="69">
        <f>C15</f>
        <v>0</v>
      </c>
      <c r="R18" s="69">
        <f>P18+Q18</f>
        <v>0</v>
      </c>
      <c r="S18" s="69">
        <f>C13</f>
        <v>0.33</v>
      </c>
      <c r="T18" s="69">
        <v>0.28000000000000003</v>
      </c>
      <c r="U18" s="70">
        <f t="shared" ref="U18" si="0">ROUND(IF(R18&lt;T18,IF(R18&gt;S18,R18,S18),T18),6)</f>
        <v>0.33</v>
      </c>
    </row>
    <row r="19" spans="1:28" hidden="1" x14ac:dyDescent="0.25">
      <c r="G19" s="8"/>
      <c r="H19" s="8"/>
      <c r="I19" s="8"/>
      <c r="J19" s="8"/>
      <c r="K19" s="8"/>
      <c r="L19" s="8"/>
      <c r="M19" s="8"/>
      <c r="N19" s="8"/>
      <c r="O19" s="8"/>
    </row>
    <row r="20" spans="1:28" hidden="1" x14ac:dyDescent="0.25">
      <c r="G20" s="8"/>
      <c r="H20" s="8"/>
      <c r="I20" s="8"/>
      <c r="J20" s="8"/>
      <c r="K20" s="8"/>
      <c r="L20" s="8"/>
      <c r="M20" s="8"/>
      <c r="N20" s="8"/>
      <c r="O20" s="8"/>
    </row>
    <row r="21" spans="1:28" ht="15.75" thickBot="1" x14ac:dyDescent="0.3">
      <c r="G21" s="8"/>
      <c r="H21" s="8"/>
      <c r="I21" s="8"/>
      <c r="J21" s="8"/>
      <c r="K21" s="8"/>
      <c r="L21" s="8"/>
      <c r="M21" s="8"/>
      <c r="N21" s="8"/>
      <c r="O21" s="8"/>
    </row>
    <row r="22" spans="1:28" ht="15.75" thickBot="1" x14ac:dyDescent="0.3">
      <c r="B22" s="205" t="s">
        <v>41</v>
      </c>
      <c r="C22" s="206"/>
      <c r="D22" s="206"/>
      <c r="E22" s="206"/>
      <c r="F22" s="206"/>
      <c r="G22" s="206"/>
      <c r="H22" s="207"/>
      <c r="I22" s="8"/>
      <c r="J22" s="8"/>
      <c r="K22" s="8"/>
      <c r="L22" s="8"/>
      <c r="M22" s="8"/>
      <c r="N22" s="8"/>
      <c r="O22" s="8"/>
      <c r="P22" s="201" t="s">
        <v>41</v>
      </c>
      <c r="Q22" s="202"/>
      <c r="R22" s="202"/>
      <c r="S22" s="202"/>
      <c r="T22" s="203"/>
      <c r="U22" s="71" t="s">
        <v>8</v>
      </c>
      <c r="X22" s="204" t="s">
        <v>10</v>
      </c>
      <c r="Y22" s="204"/>
      <c r="Z22" s="204"/>
    </row>
    <row r="23" spans="1:28" ht="26.25" thickBot="1" x14ac:dyDescent="0.3">
      <c r="A23" s="107"/>
      <c r="B23" s="60" t="s">
        <v>11</v>
      </c>
      <c r="C23" s="61" t="s">
        <v>39</v>
      </c>
      <c r="D23" s="61" t="s">
        <v>38</v>
      </c>
      <c r="E23" s="61" t="s">
        <v>47</v>
      </c>
      <c r="F23" s="62" t="s">
        <v>46</v>
      </c>
      <c r="G23" s="62" t="s">
        <v>8</v>
      </c>
      <c r="H23" s="62" t="s">
        <v>37</v>
      </c>
      <c r="O23" s="8"/>
      <c r="P23" s="72" t="s">
        <v>11</v>
      </c>
      <c r="Q23" s="73" t="s">
        <v>43</v>
      </c>
      <c r="R23" s="74" t="s">
        <v>42</v>
      </c>
      <c r="S23" s="74" t="s">
        <v>13</v>
      </c>
      <c r="T23" s="74" t="s">
        <v>14</v>
      </c>
      <c r="U23" s="72" t="s">
        <v>19</v>
      </c>
      <c r="X23" s="75" t="s">
        <v>23</v>
      </c>
      <c r="Y23" s="76" t="s">
        <v>24</v>
      </c>
      <c r="Z23" s="77" t="s">
        <v>25</v>
      </c>
    </row>
    <row r="24" spans="1:28" x14ac:dyDescent="0.25">
      <c r="A24" s="100"/>
      <c r="B24" s="22">
        <f>C11</f>
        <v>44651</v>
      </c>
      <c r="C24" s="58"/>
      <c r="D24" s="56"/>
      <c r="E24" s="23"/>
      <c r="F24" s="23"/>
      <c r="G24" s="23">
        <f>-($H$24*I10)/100</f>
        <v>0</v>
      </c>
      <c r="H24" s="23">
        <f>C12</f>
        <v>0</v>
      </c>
      <c r="O24" s="8"/>
      <c r="P24" s="78">
        <f>+B24</f>
        <v>44651</v>
      </c>
      <c r="Q24" s="79"/>
      <c r="R24" s="79"/>
      <c r="S24" s="80">
        <f>-T24</f>
        <v>0</v>
      </c>
      <c r="T24" s="79">
        <f>Q35</f>
        <v>0</v>
      </c>
      <c r="U24" s="81"/>
      <c r="X24" s="82"/>
      <c r="Y24" s="83"/>
      <c r="Z24" s="84"/>
    </row>
    <row r="25" spans="1:28" x14ac:dyDescent="0.25">
      <c r="A25" s="102"/>
      <c r="B25" s="22"/>
      <c r="C25" s="54"/>
      <c r="D25" s="103"/>
      <c r="E25" s="24"/>
      <c r="F25" s="24"/>
      <c r="G25" s="24"/>
      <c r="H25" s="24">
        <f>H24-E25</f>
        <v>0</v>
      </c>
      <c r="I25" s="8"/>
      <c r="N25" s="8"/>
      <c r="O25" s="8"/>
      <c r="P25" s="78"/>
      <c r="Q25" s="85"/>
      <c r="R25" s="85"/>
      <c r="S25" s="85"/>
      <c r="T25" s="85" t="e">
        <f>#REF!-Q25</f>
        <v>#REF!</v>
      </c>
      <c r="U25" s="86">
        <f t="shared" ref="U25:U27" si="1">S25/((1+I$14)^((B25-B$24)/365))</f>
        <v>0</v>
      </c>
      <c r="X25" s="87">
        <f t="shared" ref="X25:X26" si="2">+P25-$P$24</f>
        <v>-44651</v>
      </c>
      <c r="Y25" s="88" t="e">
        <f t="shared" ref="Y25:Y30" si="3">1/((1+$Y$40)^(X25/365))</f>
        <v>#NUM!</v>
      </c>
      <c r="Z25" s="89" t="e">
        <f t="shared" ref="Z25" si="4">+S25*X25*Y25</f>
        <v>#NUM!</v>
      </c>
      <c r="AB25" s="90"/>
    </row>
    <row r="26" spans="1:28" x14ac:dyDescent="0.25">
      <c r="A26" s="182">
        <v>30</v>
      </c>
      <c r="B26" s="22"/>
      <c r="C26" s="54"/>
      <c r="D26" s="103"/>
      <c r="E26" s="24"/>
      <c r="F26" s="24"/>
      <c r="G26" s="24"/>
      <c r="H26" s="24">
        <f t="shared" ref="H26:H27" si="5">H25-E26</f>
        <v>0</v>
      </c>
      <c r="I26" s="8"/>
      <c r="K26" t="s">
        <v>57</v>
      </c>
      <c r="L26" t="s">
        <v>56</v>
      </c>
      <c r="M26" t="s">
        <v>55</v>
      </c>
      <c r="N26" s="8"/>
      <c r="O26" s="8" t="s">
        <v>59</v>
      </c>
      <c r="P26" s="78"/>
      <c r="Q26" s="85"/>
      <c r="R26" s="85"/>
      <c r="S26" s="85"/>
      <c r="T26" s="85" t="e">
        <f t="shared" ref="T26:T30" si="6">T25-Q26</f>
        <v>#REF!</v>
      </c>
      <c r="U26" s="86">
        <f t="shared" si="1"/>
        <v>0</v>
      </c>
      <c r="X26" s="87">
        <f t="shared" si="2"/>
        <v>-44651</v>
      </c>
      <c r="Y26" s="88" t="e">
        <f t="shared" si="3"/>
        <v>#NUM!</v>
      </c>
      <c r="Z26" s="89" t="e">
        <f>+S26*X26*Y26</f>
        <v>#NUM!</v>
      </c>
      <c r="AB26" s="90"/>
    </row>
    <row r="27" spans="1:28" x14ac:dyDescent="0.25">
      <c r="A27" s="182">
        <v>30</v>
      </c>
      <c r="B27" s="22"/>
      <c r="C27" s="54"/>
      <c r="D27" s="103"/>
      <c r="E27" s="24"/>
      <c r="F27" s="24"/>
      <c r="G27" s="24"/>
      <c r="H27" s="24">
        <f t="shared" si="5"/>
        <v>0</v>
      </c>
      <c r="I27" s="8"/>
      <c r="L27" s="57"/>
      <c r="M27" s="160"/>
      <c r="N27" s="174"/>
      <c r="O27" s="8">
        <v>0</v>
      </c>
      <c r="P27" s="78"/>
      <c r="Q27" s="85"/>
      <c r="R27" s="85"/>
      <c r="S27" s="85"/>
      <c r="T27" s="85" t="e">
        <f t="shared" si="6"/>
        <v>#REF!</v>
      </c>
      <c r="U27" s="86">
        <f t="shared" si="1"/>
        <v>0</v>
      </c>
      <c r="X27" s="87">
        <f>+P27-$P$24</f>
        <v>-44651</v>
      </c>
      <c r="Y27" s="88" t="e">
        <f t="shared" si="3"/>
        <v>#NUM!</v>
      </c>
      <c r="Z27" s="89" t="e">
        <f t="shared" ref="Z27" si="7">+S27*X27*Y27</f>
        <v>#NUM!</v>
      </c>
      <c r="AB27" s="90"/>
    </row>
    <row r="28" spans="1:28" x14ac:dyDescent="0.25">
      <c r="A28" s="182">
        <v>30</v>
      </c>
      <c r="B28" s="22"/>
      <c r="C28" s="54"/>
      <c r="D28" s="103"/>
      <c r="E28" s="97"/>
      <c r="F28" s="24"/>
      <c r="G28" s="24"/>
      <c r="H28" s="24">
        <f>H27-E28</f>
        <v>0</v>
      </c>
      <c r="I28" s="8"/>
      <c r="J28" s="180"/>
      <c r="K28" s="181"/>
      <c r="L28" s="57"/>
      <c r="M28" s="160"/>
      <c r="N28" s="174">
        <f>+B28</f>
        <v>0</v>
      </c>
      <c r="O28" s="8">
        <v>0</v>
      </c>
      <c r="P28" s="78"/>
      <c r="Q28" s="85"/>
      <c r="R28" s="85"/>
      <c r="S28" s="85"/>
      <c r="T28" s="85" t="e">
        <f t="shared" si="6"/>
        <v>#REF!</v>
      </c>
      <c r="U28" s="86">
        <f>S28/((1+I$14)^((B28-B$24)/365))</f>
        <v>0</v>
      </c>
      <c r="X28" s="87">
        <f>+P28-$P$24</f>
        <v>-44651</v>
      </c>
      <c r="Y28" s="88" t="e">
        <f t="shared" si="3"/>
        <v>#NUM!</v>
      </c>
      <c r="Z28" s="89" t="e">
        <f>+S28*X28*Y28</f>
        <v>#NUM!</v>
      </c>
      <c r="AB28" s="90"/>
    </row>
    <row r="29" spans="1:28" x14ac:dyDescent="0.25">
      <c r="A29" s="182">
        <v>30</v>
      </c>
      <c r="B29" s="22"/>
      <c r="C29" s="54"/>
      <c r="D29" s="103"/>
      <c r="E29" s="97"/>
      <c r="F29" s="24"/>
      <c r="G29" s="24"/>
      <c r="H29" s="24">
        <f>H28-E29</f>
        <v>0</v>
      </c>
      <c r="I29" s="8"/>
      <c r="K29" s="181">
        <f>G29/((1+$I$14)^((B29-$B$24)/365))</f>
        <v>0</v>
      </c>
      <c r="L29" s="57">
        <f>+M29-G29</f>
        <v>0</v>
      </c>
      <c r="M29" s="160">
        <f>+VDFB!M29</f>
        <v>0</v>
      </c>
      <c r="N29" s="174">
        <f t="shared" ref="N29:N32" si="8">+B29</f>
        <v>0</v>
      </c>
      <c r="O29" s="8">
        <v>0</v>
      </c>
      <c r="P29" s="78"/>
      <c r="Q29" s="85"/>
      <c r="R29" s="85"/>
      <c r="S29" s="85"/>
      <c r="T29" s="85" t="e">
        <f t="shared" si="6"/>
        <v>#REF!</v>
      </c>
      <c r="U29" s="86">
        <f>S29/((1+I$14)^((B29-B$24)/365))</f>
        <v>0</v>
      </c>
      <c r="X29" s="87">
        <f>+P29-$P$24</f>
        <v>-44651</v>
      </c>
      <c r="Y29" s="88" t="e">
        <f t="shared" si="3"/>
        <v>#NUM!</v>
      </c>
      <c r="Z29" s="89" t="e">
        <f>+S29*X29*Y29</f>
        <v>#NUM!</v>
      </c>
      <c r="AB29" s="90"/>
    </row>
    <row r="30" spans="1:28" x14ac:dyDescent="0.25">
      <c r="A30" s="182">
        <v>30</v>
      </c>
      <c r="B30" s="22"/>
      <c r="C30" s="54"/>
      <c r="D30" s="103"/>
      <c r="E30" s="97"/>
      <c r="F30" s="24"/>
      <c r="G30" s="24"/>
      <c r="H30" s="24">
        <f>H29-E30</f>
        <v>0</v>
      </c>
      <c r="I30" s="8"/>
      <c r="K30" s="181">
        <f>G30/((1+$I$14)^((B30-$B$24)/365))</f>
        <v>0</v>
      </c>
      <c r="L30" s="57">
        <f>+M30-G30</f>
        <v>0</v>
      </c>
      <c r="M30" s="160">
        <f>+VDFB!M30</f>
        <v>0</v>
      </c>
      <c r="N30" s="174">
        <f t="shared" si="8"/>
        <v>0</v>
      </c>
      <c r="O30" s="8">
        <v>0</v>
      </c>
      <c r="P30" s="78"/>
      <c r="Q30" s="85"/>
      <c r="R30" s="85"/>
      <c r="S30" s="85"/>
      <c r="T30" s="85" t="e">
        <f t="shared" si="6"/>
        <v>#REF!</v>
      </c>
      <c r="U30" s="86">
        <f>S30/((1+I$14)^((B30-B$24)/365))</f>
        <v>0</v>
      </c>
      <c r="X30" s="87">
        <f>+P30-$P$24</f>
        <v>-44651</v>
      </c>
      <c r="Y30" s="88" t="e">
        <f t="shared" si="3"/>
        <v>#NUM!</v>
      </c>
      <c r="Z30" s="89" t="e">
        <f>+S30*X30*Y30</f>
        <v>#NUM!</v>
      </c>
      <c r="AB30" s="90"/>
    </row>
    <row r="31" spans="1:28" x14ac:dyDescent="0.25">
      <c r="A31" s="182">
        <v>30</v>
      </c>
      <c r="B31" s="22">
        <v>44757</v>
      </c>
      <c r="C31" s="54"/>
      <c r="D31" s="103"/>
      <c r="E31" s="97"/>
      <c r="F31" s="24"/>
      <c r="G31" s="24"/>
      <c r="H31" s="24">
        <f>H30-E31</f>
        <v>0</v>
      </c>
      <c r="I31" s="8"/>
      <c r="K31" s="181">
        <f>G31/((1+$I$14)^((B31-$B$24)/365))</f>
        <v>0</v>
      </c>
      <c r="L31" s="57">
        <f>+M31-G31</f>
        <v>0</v>
      </c>
      <c r="M31" s="160">
        <f>+VDFB!M31</f>
        <v>0</v>
      </c>
      <c r="N31" s="174">
        <f t="shared" si="8"/>
        <v>44757</v>
      </c>
      <c r="O31" s="8">
        <v>59904906</v>
      </c>
      <c r="P31" s="78">
        <f>+B31</f>
        <v>44757</v>
      </c>
      <c r="Q31" s="85">
        <f t="shared" ref="Q31" si="9">+E31</f>
        <v>0</v>
      </c>
      <c r="R31" s="85">
        <f t="shared" ref="R31" si="10">+F31</f>
        <v>0</v>
      </c>
      <c r="S31" s="85">
        <f t="shared" ref="S31" si="11">Q31+R31</f>
        <v>0</v>
      </c>
      <c r="T31" s="85" t="e">
        <f t="shared" ref="T31" si="12">T30-Q31</f>
        <v>#REF!</v>
      </c>
      <c r="U31" s="86">
        <f t="shared" ref="U31" si="13">S31/((1+I$14)^((B31-B$24)/365))</f>
        <v>0</v>
      </c>
      <c r="X31" s="87">
        <f t="shared" ref="X31" si="14">+P31-$P$24</f>
        <v>106</v>
      </c>
      <c r="Y31" s="88" t="e">
        <f t="shared" ref="Y31" si="15">1/((1+$Y$40)^(X31/365))</f>
        <v>#NUM!</v>
      </c>
      <c r="Z31" s="89" t="e">
        <f t="shared" ref="Z31" si="16">+S31*X31*Y31</f>
        <v>#NUM!</v>
      </c>
      <c r="AB31" s="90"/>
    </row>
    <row r="32" spans="1:28" x14ac:dyDescent="0.25">
      <c r="A32" s="182">
        <v>30</v>
      </c>
      <c r="B32" s="22">
        <v>44788</v>
      </c>
      <c r="C32" s="54">
        <v>220</v>
      </c>
      <c r="D32" s="103">
        <f t="shared" ref="D32:D34" si="17">+$C$13</f>
        <v>0.33</v>
      </c>
      <c r="E32" s="97">
        <f t="shared" ref="E32" si="18">+MIN(IF(F32&gt;0,M32-F32,0),H31)</f>
        <v>0</v>
      </c>
      <c r="F32" s="24">
        <f>+IF(H31*D32/360*C32&lt;=M32,H31*D32/360*C32,0)</f>
        <v>0</v>
      </c>
      <c r="G32" s="24">
        <f t="shared" ref="G32" si="19">+F32+E32</f>
        <v>0</v>
      </c>
      <c r="H32" s="24">
        <f t="shared" ref="H32" si="20">H31-E32</f>
        <v>0</v>
      </c>
      <c r="I32" s="8"/>
      <c r="K32" s="181">
        <f t="shared" ref="K32" si="21">G32/((1+$I$14)^((B32-$B$24)/365))</f>
        <v>0</v>
      </c>
      <c r="L32" s="57">
        <f>+M32-G32</f>
        <v>0</v>
      </c>
      <c r="M32" s="160">
        <f>+VDFB!M32</f>
        <v>0</v>
      </c>
      <c r="N32" s="174">
        <f t="shared" si="8"/>
        <v>44788</v>
      </c>
      <c r="O32" s="8">
        <v>59904906</v>
      </c>
      <c r="P32" s="78">
        <f t="shared" ref="P32" si="22">+B32</f>
        <v>44788</v>
      </c>
      <c r="Q32" s="85">
        <f t="shared" ref="Q32" si="23">+E32</f>
        <v>0</v>
      </c>
      <c r="R32" s="85">
        <f t="shared" ref="R32" si="24">+F32</f>
        <v>0</v>
      </c>
      <c r="S32" s="85">
        <f t="shared" ref="S32" si="25">Q32+R32</f>
        <v>0</v>
      </c>
      <c r="T32" s="85" t="e">
        <f t="shared" ref="T32" si="26">T31-Q32</f>
        <v>#REF!</v>
      </c>
      <c r="U32" s="86">
        <f t="shared" ref="U32" si="27">S32/((1+I$14)^((B32-B$24)/365))</f>
        <v>0</v>
      </c>
      <c r="X32" s="87">
        <f t="shared" ref="X32" si="28">+P32-$P$24</f>
        <v>137</v>
      </c>
      <c r="Y32" s="88" t="e">
        <f t="shared" ref="Y32" si="29">1/((1+$Y$40)^(X32/365))</f>
        <v>#NUM!</v>
      </c>
      <c r="Z32" s="89" t="e">
        <f t="shared" ref="Z32" si="30">+S32*X32*Y32</f>
        <v>#NUM!</v>
      </c>
      <c r="AB32" s="90"/>
    </row>
    <row r="33" spans="1:28" x14ac:dyDescent="0.25">
      <c r="A33" s="182">
        <v>30</v>
      </c>
      <c r="B33" s="22">
        <v>44819</v>
      </c>
      <c r="C33" s="54">
        <v>220</v>
      </c>
      <c r="D33" s="103">
        <f t="shared" si="17"/>
        <v>0.33</v>
      </c>
      <c r="E33" s="97">
        <f t="shared" ref="E33" si="31">+MIN(IF(F33&gt;0,M33-F33,0),H32)</f>
        <v>0</v>
      </c>
      <c r="F33" s="24">
        <f>+IF(H32*D33/360*C33&lt;=M33,H32*D33/360*C33,0)</f>
        <v>0</v>
      </c>
      <c r="G33" s="24">
        <f t="shared" ref="G33" si="32">+F33+E33</f>
        <v>0</v>
      </c>
      <c r="H33" s="24">
        <f t="shared" ref="H33" si="33">H32-E33</f>
        <v>0</v>
      </c>
      <c r="I33" s="8"/>
      <c r="K33" s="181">
        <f>G33/((1+$I$14)^((B33-$B$24)/365))</f>
        <v>0</v>
      </c>
      <c r="L33" s="57">
        <f t="shared" ref="L33" si="34">+M33-G33</f>
        <v>41318912.799366124</v>
      </c>
      <c r="M33" s="160">
        <f>+VDFB!M33</f>
        <v>41318912.799366124</v>
      </c>
      <c r="N33" s="174">
        <f t="shared" ref="N33:N34" si="35">+B33</f>
        <v>44819</v>
      </c>
      <c r="O33" s="8">
        <v>59904906</v>
      </c>
      <c r="P33" s="78">
        <f t="shared" ref="P33" si="36">+B33</f>
        <v>44819</v>
      </c>
      <c r="Q33" s="85">
        <f t="shared" ref="Q33" si="37">+E33</f>
        <v>0</v>
      </c>
      <c r="R33" s="85">
        <f t="shared" ref="R33" si="38">+F33</f>
        <v>0</v>
      </c>
      <c r="S33" s="85">
        <f t="shared" ref="S33" si="39">Q33+R33</f>
        <v>0</v>
      </c>
      <c r="T33" s="85" t="e">
        <f t="shared" ref="T33" si="40">T32-Q33</f>
        <v>#REF!</v>
      </c>
      <c r="U33" s="86">
        <f t="shared" ref="U33" si="41">S33/((1+I$14)^((B33-B$24)/365))</f>
        <v>0</v>
      </c>
      <c r="X33" s="87">
        <f>+P33-$P$24</f>
        <v>168</v>
      </c>
      <c r="Y33" s="88" t="e">
        <f t="shared" ref="Y33" si="42">1/((1+$Y$40)^(X33/365))</f>
        <v>#NUM!</v>
      </c>
      <c r="Z33" s="89" t="e">
        <f>+S33*X33*Y33</f>
        <v>#NUM!</v>
      </c>
      <c r="AB33" s="90"/>
    </row>
    <row r="34" spans="1:28" ht="15.75" thickBot="1" x14ac:dyDescent="0.3">
      <c r="A34" s="102"/>
      <c r="B34" s="22">
        <v>44849</v>
      </c>
      <c r="C34" s="54">
        <v>30</v>
      </c>
      <c r="D34" s="103">
        <f t="shared" si="17"/>
        <v>0.33</v>
      </c>
      <c r="E34" s="97">
        <f t="shared" ref="E34" si="43">+MIN(IF(F34&gt;0,M34-F34,0),H33)</f>
        <v>0</v>
      </c>
      <c r="F34" s="24">
        <f>+IF(H33*D34/360*C34&lt;=M34,H33*D34/360*C34,0)</f>
        <v>0</v>
      </c>
      <c r="G34" s="24">
        <f t="shared" ref="G34" si="44">+F34+E34</f>
        <v>0</v>
      </c>
      <c r="H34" s="24">
        <f t="shared" ref="H34" si="45">H33-E34</f>
        <v>0</v>
      </c>
      <c r="I34" s="8"/>
      <c r="N34" s="174">
        <f t="shared" si="35"/>
        <v>44849</v>
      </c>
      <c r="O34" s="8"/>
      <c r="P34" s="78"/>
      <c r="Q34" s="85"/>
      <c r="R34" s="85"/>
      <c r="S34" s="85"/>
      <c r="T34" s="85"/>
      <c r="U34" s="86"/>
      <c r="X34" s="87"/>
      <c r="Y34" s="88"/>
      <c r="Z34" s="89"/>
      <c r="AB34" s="90"/>
    </row>
    <row r="35" spans="1:28" ht="15.75" thickBot="1" x14ac:dyDescent="0.3">
      <c r="A35" s="102">
        <v>44407</v>
      </c>
      <c r="B35" s="165" t="s">
        <v>13</v>
      </c>
      <c r="C35" s="166">
        <f>SUM(C25:C26)</f>
        <v>0</v>
      </c>
      <c r="D35" s="166"/>
      <c r="E35" s="167">
        <f>SUM(E25:E34)</f>
        <v>0</v>
      </c>
      <c r="F35" s="168">
        <f>SUM(F25:F34)</f>
        <v>0</v>
      </c>
      <c r="G35" s="168">
        <f>SUM(G25:G34)</f>
        <v>0</v>
      </c>
      <c r="H35" s="169"/>
      <c r="I35" s="8"/>
      <c r="N35" s="8"/>
      <c r="O35" s="8"/>
      <c r="P35" s="178" t="s">
        <v>13</v>
      </c>
      <c r="Q35" s="179">
        <f>+SUM(Q24:Q34)</f>
        <v>0</v>
      </c>
      <c r="R35" s="179">
        <f t="shared" ref="R35:T35" si="46">+SUM(R24:R34)</f>
        <v>0</v>
      </c>
      <c r="S35" s="179">
        <f t="shared" si="46"/>
        <v>0</v>
      </c>
      <c r="T35" s="179" t="e">
        <f t="shared" si="46"/>
        <v>#REF!</v>
      </c>
      <c r="U35" s="179">
        <f>+SUM(U24:U34)</f>
        <v>0</v>
      </c>
      <c r="X35" s="91"/>
      <c r="Y35" s="92"/>
      <c r="Z35" s="93" t="e">
        <f>SUM(Z25:Z34)</f>
        <v>#NUM!</v>
      </c>
      <c r="AB35" s="90"/>
    </row>
    <row r="36" spans="1:28" x14ac:dyDescent="0.25">
      <c r="A36" s="100"/>
      <c r="B36" s="108"/>
      <c r="C36" s="105" t="e">
        <f>+#REF!-#REF!</f>
        <v>#REF!</v>
      </c>
      <c r="D36" s="107"/>
      <c r="E36" s="100"/>
      <c r="F36" s="100"/>
      <c r="G36" s="100"/>
      <c r="N36" s="8"/>
      <c r="O36" s="8"/>
      <c r="X36" s="161"/>
      <c r="Y36" s="161"/>
      <c r="Z36" s="162"/>
      <c r="AB36" s="90"/>
    </row>
    <row r="37" spans="1:28" x14ac:dyDescent="0.25">
      <c r="A37" s="100"/>
      <c r="B37" s="107"/>
      <c r="C37" s="105">
        <f>+B34-B24</f>
        <v>198</v>
      </c>
      <c r="D37" s="107"/>
      <c r="E37" s="100">
        <v>5029285</v>
      </c>
      <c r="F37" s="100">
        <v>117350</v>
      </c>
      <c r="G37" s="100"/>
      <c r="J37" s="112"/>
      <c r="K37" s="112"/>
      <c r="L37" s="106"/>
      <c r="M37" s="112"/>
      <c r="N37" s="8"/>
      <c r="O37" s="8"/>
      <c r="X37" s="161"/>
      <c r="Y37" s="161"/>
      <c r="Z37" s="162"/>
      <c r="AB37" s="90"/>
    </row>
    <row r="38" spans="1:28" ht="15.75" thickBot="1" x14ac:dyDescent="0.3">
      <c r="A38" s="107"/>
      <c r="B38" s="109"/>
      <c r="C38" s="107"/>
      <c r="D38" s="107"/>
      <c r="E38" s="100"/>
      <c r="F38" s="100"/>
      <c r="G38" s="100"/>
      <c r="J38" s="8"/>
      <c r="K38" s="8"/>
      <c r="L38" s="8"/>
      <c r="M38" s="8"/>
      <c r="N38" s="8"/>
      <c r="O38" s="8"/>
      <c r="T38" s="73" t="s">
        <v>7</v>
      </c>
      <c r="U38" s="94" t="e">
        <f>+(SUM(U35)/$T$24)*100</f>
        <v>#DIV/0!</v>
      </c>
      <c r="X38" s="99" t="e">
        <f>316-#REF!</f>
        <v>#REF!</v>
      </c>
      <c r="AB38" s="90"/>
    </row>
    <row r="39" spans="1:28" x14ac:dyDescent="0.25">
      <c r="A39" s="107"/>
      <c r="B39" s="107"/>
      <c r="C39" s="107"/>
      <c r="D39" s="107"/>
      <c r="J39" s="8"/>
      <c r="K39" s="8"/>
      <c r="L39" s="8"/>
      <c r="M39" s="8"/>
      <c r="N39" s="8"/>
      <c r="O39" s="8"/>
      <c r="Y39" s="68"/>
      <c r="AB39" s="90"/>
    </row>
    <row r="40" spans="1:28" x14ac:dyDescent="0.25">
      <c r="A40" s="107"/>
      <c r="J40" s="8"/>
      <c r="K40" s="8"/>
      <c r="L40" s="8"/>
      <c r="M40" s="8"/>
      <c r="N40" s="8"/>
      <c r="O40" s="8"/>
      <c r="Y40" s="63" t="e">
        <f>I11</f>
        <v>#NUM!</v>
      </c>
      <c r="AB40" s="90"/>
    </row>
    <row r="41" spans="1:28" x14ac:dyDescent="0.25">
      <c r="A41" s="107"/>
      <c r="J41" s="8"/>
      <c r="K41" s="8"/>
      <c r="L41" s="8"/>
      <c r="M41" s="8"/>
      <c r="N41" s="8"/>
      <c r="O41" s="8"/>
    </row>
  </sheetData>
  <protectedRanges>
    <protectedRange sqref="I10" name="Rango1"/>
    <protectedRange sqref="I14" name="Rango2"/>
  </protectedRanges>
  <mergeCells count="4">
    <mergeCell ref="A5:I5"/>
    <mergeCell ref="P22:T22"/>
    <mergeCell ref="X22:Z22"/>
    <mergeCell ref="B22:H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D14" sqref="D14"/>
    </sheetView>
  </sheetViews>
  <sheetFormatPr baseColWidth="10" defaultRowHeight="15" x14ac:dyDescent="0.25"/>
  <sheetData>
    <row r="2" spans="2:2" x14ac:dyDescent="0.25">
      <c r="B2">
        <v>29.4375</v>
      </c>
    </row>
    <row r="3" spans="2:2" x14ac:dyDescent="0.25">
      <c r="B3">
        <v>29.8125</v>
      </c>
    </row>
    <row r="4" spans="2:2" x14ac:dyDescent="0.25">
      <c r="B4">
        <v>29.625</v>
      </c>
    </row>
    <row r="5" spans="2:2" x14ac:dyDescent="0.25">
      <c r="B5">
        <v>29.75</v>
      </c>
    </row>
    <row r="6" spans="2:2" x14ac:dyDescent="0.25">
      <c r="B6">
        <v>29.75</v>
      </c>
    </row>
    <row r="7" spans="2:2" x14ac:dyDescent="0.25">
      <c r="B7">
        <f>AVERAGE(B2:B6)</f>
        <v>29.675000000000001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VDFA</vt:lpstr>
      <vt:lpstr>VDFB</vt:lpstr>
      <vt:lpstr>VDFC</vt:lpstr>
      <vt:lpstr>Hoja2</vt:lpstr>
      <vt:lpstr>Hoja3</vt:lpstr>
      <vt:lpstr>Badlar</vt:lpstr>
    </vt:vector>
  </TitlesOfParts>
  <Company>Banco CMF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Geragalet, Maria</dc:creator>
  <cp:lastModifiedBy>Mauro Jorge Zambon</cp:lastModifiedBy>
  <cp:lastPrinted>2020-08-25T14:44:40Z</cp:lastPrinted>
  <dcterms:created xsi:type="dcterms:W3CDTF">2020-06-25T20:14:45Z</dcterms:created>
  <dcterms:modified xsi:type="dcterms:W3CDTF">2022-03-30T15:54:01Z</dcterms:modified>
</cp:coreProperties>
</file>