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USUARIOS\Finanzas Corporativas\COLOCACIONES\AGINCO\Difusion\"/>
    </mc:Choice>
  </mc:AlternateContent>
  <workbookProtection workbookPassword="C72E" lockStructure="1"/>
  <bookViews>
    <workbookView xWindow="0" yWindow="0" windowWidth="20490" windowHeight="7620"/>
  </bookViews>
  <sheets>
    <sheet name="VDF A" sheetId="7" r:id="rId1"/>
    <sheet name="VDF A teórico" sheetId="11" state="hidden" r:id="rId2"/>
    <sheet name="VDF B" sheetId="9" r:id="rId3"/>
  </sheets>
  <definedNames>
    <definedName name="_xlnm.Print_Area" localSheetId="0">'VDF A'!$A$6:$J$40</definedName>
    <definedName name="_xlnm.Print_Area" localSheetId="2">'VDF B'!$A$4:$J$30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'VDF A'!$G$16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  <definedName name="VN" localSheetId="2">'VDF B'!$G$21</definedName>
    <definedName name="VN">'VDF A'!$G$21</definedName>
  </definedNames>
  <calcPr calcId="977461"/>
</workbook>
</file>

<file path=xl/calcChain.xml><?xml version="1.0" encoding="utf-8"?>
<calcChain xmlns="http://schemas.openxmlformats.org/spreadsheetml/2006/main">
  <c r="S36" i="11" l="1"/>
  <c r="S35" i="11"/>
  <c r="S34" i="11"/>
  <c r="S33" i="11"/>
  <c r="S32" i="11"/>
  <c r="S31" i="11"/>
  <c r="S30" i="11"/>
  <c r="O36" i="7"/>
  <c r="O35" i="7"/>
  <c r="O34" i="7"/>
  <c r="O32" i="7"/>
  <c r="O30" i="7"/>
  <c r="O25" i="7"/>
  <c r="M34" i="7"/>
  <c r="S34" i="7"/>
  <c r="M35" i="7"/>
  <c r="S35" i="7"/>
  <c r="C34" i="7"/>
  <c r="C34" i="11"/>
  <c r="D34" i="11"/>
  <c r="C35" i="7"/>
  <c r="D35" i="7"/>
  <c r="O54" i="7"/>
  <c r="O52" i="7"/>
  <c r="O58" i="7"/>
  <c r="O57" i="7"/>
  <c r="O56" i="7"/>
  <c r="O47" i="7"/>
  <c r="U60" i="7"/>
  <c r="U61" i="7"/>
  <c r="U62" i="7"/>
  <c r="U63" i="7"/>
  <c r="U64" i="7"/>
  <c r="U65" i="7"/>
  <c r="U66" i="7"/>
  <c r="U67" i="7"/>
  <c r="U68" i="7"/>
  <c r="U69" i="7"/>
  <c r="U70" i="7"/>
  <c r="U71" i="7"/>
  <c r="U72" i="7"/>
  <c r="U73" i="7"/>
  <c r="U74" i="7"/>
  <c r="U75" i="7"/>
  <c r="U76" i="7"/>
  <c r="U77" i="7"/>
  <c r="U78" i="7"/>
  <c r="U79" i="7"/>
  <c r="L55" i="7"/>
  <c r="M55" i="7"/>
  <c r="L56" i="7"/>
  <c r="M56" i="7"/>
  <c r="L57" i="7"/>
  <c r="M57" i="7"/>
  <c r="L58" i="7"/>
  <c r="M58" i="7"/>
  <c r="C52" i="7"/>
  <c r="C53" i="7"/>
  <c r="C54" i="7"/>
  <c r="C55" i="7"/>
  <c r="C56" i="7"/>
  <c r="C57" i="7"/>
  <c r="C58" i="7"/>
  <c r="S24" i="7"/>
  <c r="S25" i="7"/>
  <c r="S27" i="7"/>
  <c r="S28" i="7"/>
  <c r="S29" i="7"/>
  <c r="S30" i="7"/>
  <c r="S31" i="7"/>
  <c r="S32" i="7"/>
  <c r="S33" i="7"/>
  <c r="S36" i="7"/>
  <c r="S23" i="7"/>
  <c r="C36" i="7"/>
  <c r="D36" i="7"/>
  <c r="C33" i="7"/>
  <c r="C33" i="11"/>
  <c r="D33" i="11"/>
  <c r="C32" i="7"/>
  <c r="D32" i="7"/>
  <c r="C31" i="7"/>
  <c r="D31" i="7"/>
  <c r="C30" i="7"/>
  <c r="C30" i="11"/>
  <c r="D30" i="11"/>
  <c r="C29" i="7"/>
  <c r="C29" i="11"/>
  <c r="D29" i="11"/>
  <c r="C28" i="7"/>
  <c r="C28" i="11"/>
  <c r="D28" i="11"/>
  <c r="C27" i="7"/>
  <c r="C27" i="11"/>
  <c r="D27" i="11"/>
  <c r="C26" i="7"/>
  <c r="D26" i="7"/>
  <c r="C25" i="7"/>
  <c r="D25" i="7"/>
  <c r="C24" i="7"/>
  <c r="C24" i="11"/>
  <c r="D24" i="11"/>
  <c r="P24" i="11"/>
  <c r="T32" i="9"/>
  <c r="D38" i="9"/>
  <c r="C35" i="9"/>
  <c r="D35" i="9"/>
  <c r="N56" i="9"/>
  <c r="N57" i="9"/>
  <c r="S29" i="11"/>
  <c r="S28" i="11"/>
  <c r="S27" i="11"/>
  <c r="S26" i="7"/>
  <c r="M35" i="9"/>
  <c r="T35" i="9"/>
  <c r="M34" i="9"/>
  <c r="T34" i="9"/>
  <c r="M56" i="9"/>
  <c r="M54" i="7"/>
  <c r="M53" i="7"/>
  <c r="M52" i="7"/>
  <c r="M51" i="7"/>
  <c r="M50" i="7"/>
  <c r="M49" i="7"/>
  <c r="M48" i="7"/>
  <c r="M47" i="7"/>
  <c r="C51" i="7"/>
  <c r="C50" i="7"/>
  <c r="C49" i="7"/>
  <c r="C48" i="7"/>
  <c r="C47" i="7"/>
  <c r="C46" i="7"/>
  <c r="L54" i="7"/>
  <c r="P15" i="7"/>
  <c r="M55" i="9"/>
  <c r="L53" i="7"/>
  <c r="M33" i="9"/>
  <c r="T33" i="9"/>
  <c r="M54" i="9"/>
  <c r="M32" i="9"/>
  <c r="M53" i="9"/>
  <c r="H45" i="7"/>
  <c r="Q15" i="9"/>
  <c r="G18" i="9"/>
  <c r="I23" i="9"/>
  <c r="M24" i="9"/>
  <c r="T24" i="9"/>
  <c r="M25" i="9"/>
  <c r="M26" i="9"/>
  <c r="T26" i="9"/>
  <c r="M27" i="9"/>
  <c r="T27" i="9"/>
  <c r="M28" i="9"/>
  <c r="T28" i="9"/>
  <c r="M29" i="9"/>
  <c r="T29" i="9"/>
  <c r="M30" i="9"/>
  <c r="T30" i="9"/>
  <c r="M31" i="9"/>
  <c r="T31" i="9"/>
  <c r="U44" i="9"/>
  <c r="U45" i="9"/>
  <c r="H45" i="9"/>
  <c r="M46" i="9"/>
  <c r="M47" i="9"/>
  <c r="M48" i="9"/>
  <c r="M49" i="9"/>
  <c r="M50" i="9"/>
  <c r="M51" i="9"/>
  <c r="M52" i="9"/>
  <c r="G12" i="11"/>
  <c r="G18" i="11"/>
  <c r="P14" i="11"/>
  <c r="H45" i="11"/>
  <c r="I23" i="11"/>
  <c r="S25" i="11"/>
  <c r="D38" i="11"/>
  <c r="G18" i="7"/>
  <c r="I23" i="7"/>
  <c r="T44" i="7"/>
  <c r="T45" i="7"/>
  <c r="L46" i="7"/>
  <c r="M46" i="7"/>
  <c r="L47" i="7"/>
  <c r="L48" i="7"/>
  <c r="L49" i="7"/>
  <c r="L50" i="7"/>
  <c r="L51" i="7"/>
  <c r="L52" i="7"/>
  <c r="M45" i="9"/>
  <c r="T25" i="9"/>
  <c r="M23" i="9"/>
  <c r="T23" i="9"/>
  <c r="S26" i="11"/>
  <c r="L45" i="7"/>
  <c r="S24" i="11"/>
  <c r="S23" i="11"/>
  <c r="Q46" i="9"/>
  <c r="P46" i="11"/>
  <c r="D28" i="7"/>
  <c r="C25" i="11"/>
  <c r="D25" i="11"/>
  <c r="M33" i="7"/>
  <c r="M28" i="7"/>
  <c r="M32" i="7"/>
  <c r="M26" i="7"/>
  <c r="M25" i="7"/>
  <c r="M31" i="7"/>
  <c r="M29" i="7"/>
  <c r="M30" i="7"/>
  <c r="M24" i="7"/>
  <c r="M36" i="7"/>
  <c r="M27" i="7"/>
  <c r="P46" i="7"/>
  <c r="F46" i="11"/>
  <c r="F46" i="7"/>
  <c r="E46" i="11"/>
  <c r="Q46" i="11"/>
  <c r="E46" i="7"/>
  <c r="Q46" i="7"/>
  <c r="D46" i="11"/>
  <c r="G46" i="11"/>
  <c r="H46" i="11"/>
  <c r="G46" i="7"/>
  <c r="U46" i="7"/>
  <c r="D46" i="7"/>
  <c r="H46" i="7"/>
  <c r="N46" i="9"/>
  <c r="P47" i="11"/>
  <c r="P47" i="7"/>
  <c r="F47" i="11"/>
  <c r="Q47" i="11"/>
  <c r="F46" i="9"/>
  <c r="F47" i="7"/>
  <c r="Q47" i="7"/>
  <c r="R46" i="9"/>
  <c r="E46" i="9"/>
  <c r="E47" i="11"/>
  <c r="E47" i="7"/>
  <c r="G47" i="11"/>
  <c r="D47" i="11"/>
  <c r="H47" i="11"/>
  <c r="G46" i="9"/>
  <c r="H46" i="9"/>
  <c r="D46" i="9"/>
  <c r="G47" i="7"/>
  <c r="U47" i="7"/>
  <c r="D47" i="7"/>
  <c r="H47" i="7"/>
  <c r="V46" i="9"/>
  <c r="P48" i="11"/>
  <c r="F48" i="11"/>
  <c r="E48" i="11"/>
  <c r="Q47" i="9"/>
  <c r="N47" i="9"/>
  <c r="P48" i="7"/>
  <c r="G48" i="11"/>
  <c r="H48" i="11"/>
  <c r="D48" i="11"/>
  <c r="F47" i="9"/>
  <c r="R47" i="9"/>
  <c r="F48" i="7"/>
  <c r="Q48" i="11"/>
  <c r="E47" i="9"/>
  <c r="E48" i="7"/>
  <c r="Q48" i="7"/>
  <c r="D47" i="9"/>
  <c r="G47" i="9"/>
  <c r="H47" i="9"/>
  <c r="G48" i="7"/>
  <c r="U48" i="7"/>
  <c r="D48" i="7"/>
  <c r="H48" i="7"/>
  <c r="Q48" i="9"/>
  <c r="V47" i="9"/>
  <c r="N48" i="9"/>
  <c r="P49" i="11"/>
  <c r="F49" i="11"/>
  <c r="E49" i="11"/>
  <c r="P49" i="7"/>
  <c r="G49" i="11"/>
  <c r="D49" i="11"/>
  <c r="H49" i="11"/>
  <c r="F48" i="9"/>
  <c r="R48" i="9"/>
  <c r="F49" i="7"/>
  <c r="Q49" i="7"/>
  <c r="Q49" i="11"/>
  <c r="E48" i="9"/>
  <c r="E49" i="7"/>
  <c r="D48" i="9"/>
  <c r="G48" i="9"/>
  <c r="H48" i="9"/>
  <c r="G49" i="7"/>
  <c r="U49" i="7"/>
  <c r="D49" i="7"/>
  <c r="H49" i="7"/>
  <c r="Q49" i="9"/>
  <c r="P50" i="11"/>
  <c r="F50" i="11"/>
  <c r="E50" i="11"/>
  <c r="N49" i="9"/>
  <c r="V48" i="9"/>
  <c r="P50" i="7"/>
  <c r="D50" i="11"/>
  <c r="G50" i="11"/>
  <c r="H50" i="11"/>
  <c r="Q50" i="11"/>
  <c r="F49" i="9"/>
  <c r="E49" i="9"/>
  <c r="F50" i="7"/>
  <c r="G49" i="9"/>
  <c r="D49" i="9"/>
  <c r="H49" i="9"/>
  <c r="R49" i="9"/>
  <c r="E50" i="7"/>
  <c r="Q50" i="7"/>
  <c r="Q50" i="9"/>
  <c r="V49" i="9"/>
  <c r="G50" i="7"/>
  <c r="U50" i="7"/>
  <c r="D50" i="7"/>
  <c r="H50" i="7"/>
  <c r="N50" i="9"/>
  <c r="P51" i="11"/>
  <c r="F51" i="11"/>
  <c r="E51" i="11"/>
  <c r="P51" i="7"/>
  <c r="D51" i="11"/>
  <c r="G51" i="11"/>
  <c r="H51" i="11"/>
  <c r="F50" i="9"/>
  <c r="R50" i="9"/>
  <c r="F51" i="7"/>
  <c r="E51" i="7"/>
  <c r="E50" i="9"/>
  <c r="Q51" i="11"/>
  <c r="N51" i="9"/>
  <c r="Q51" i="7"/>
  <c r="G51" i="7"/>
  <c r="U51" i="7"/>
  <c r="D51" i="7"/>
  <c r="H51" i="7"/>
  <c r="P52" i="11"/>
  <c r="F52" i="11"/>
  <c r="E52" i="11"/>
  <c r="G50" i="9"/>
  <c r="D50" i="9"/>
  <c r="H50" i="9"/>
  <c r="P52" i="7"/>
  <c r="F52" i="7"/>
  <c r="E52" i="7"/>
  <c r="G52" i="11"/>
  <c r="N52" i="9"/>
  <c r="D52" i="11"/>
  <c r="H52" i="11"/>
  <c r="Q52" i="11"/>
  <c r="Q51" i="9"/>
  <c r="V50" i="9"/>
  <c r="G52" i="7"/>
  <c r="U52" i="7"/>
  <c r="D52" i="7"/>
  <c r="H52" i="7"/>
  <c r="F51" i="9"/>
  <c r="E51" i="9"/>
  <c r="P53" i="11"/>
  <c r="F53" i="11"/>
  <c r="E53" i="11"/>
  <c r="Q52" i="7"/>
  <c r="D53" i="11"/>
  <c r="G53" i="11"/>
  <c r="H53" i="11"/>
  <c r="R51" i="9"/>
  <c r="D51" i="9"/>
  <c r="G51" i="9"/>
  <c r="V51" i="9"/>
  <c r="H51" i="9"/>
  <c r="P53" i="7"/>
  <c r="F53" i="7"/>
  <c r="E53" i="7"/>
  <c r="N53" i="9"/>
  <c r="Q52" i="9"/>
  <c r="F52" i="9"/>
  <c r="Q53" i="11"/>
  <c r="G53" i="7"/>
  <c r="U53" i="7"/>
  <c r="D53" i="7"/>
  <c r="H53" i="7"/>
  <c r="E52" i="9"/>
  <c r="R52" i="9"/>
  <c r="P54" i="11"/>
  <c r="F54" i="11"/>
  <c r="E54" i="11"/>
  <c r="Q53" i="7"/>
  <c r="G54" i="11"/>
  <c r="D54" i="11"/>
  <c r="H54" i="11"/>
  <c r="P55" i="11"/>
  <c r="Q54" i="11"/>
  <c r="D52" i="9"/>
  <c r="G52" i="9"/>
  <c r="V52" i="9"/>
  <c r="H52" i="9"/>
  <c r="P54" i="7"/>
  <c r="F54" i="7"/>
  <c r="E54" i="7"/>
  <c r="F55" i="11"/>
  <c r="Q55" i="11"/>
  <c r="N54" i="9"/>
  <c r="Q53" i="9"/>
  <c r="D54" i="7"/>
  <c r="G54" i="7"/>
  <c r="U54" i="7"/>
  <c r="H54" i="7"/>
  <c r="P55" i="7"/>
  <c r="Q54" i="7"/>
  <c r="E55" i="11"/>
  <c r="H55" i="11"/>
  <c r="P56" i="11"/>
  <c r="F56" i="11"/>
  <c r="F53" i="9"/>
  <c r="E53" i="9"/>
  <c r="F55" i="7"/>
  <c r="Q55" i="7"/>
  <c r="G55" i="11"/>
  <c r="D55" i="11"/>
  <c r="E56" i="11"/>
  <c r="H56" i="11"/>
  <c r="P57" i="11"/>
  <c r="Q56" i="11"/>
  <c r="D56" i="11"/>
  <c r="G56" i="11"/>
  <c r="D53" i="9"/>
  <c r="G53" i="9"/>
  <c r="V53" i="9"/>
  <c r="H53" i="9"/>
  <c r="R53" i="9"/>
  <c r="E55" i="7"/>
  <c r="D55" i="7"/>
  <c r="E57" i="11"/>
  <c r="H57" i="11"/>
  <c r="P58" i="11"/>
  <c r="F57" i="11"/>
  <c r="Q57" i="11"/>
  <c r="Q54" i="9"/>
  <c r="G55" i="7"/>
  <c r="U55" i="7"/>
  <c r="H55" i="7"/>
  <c r="P56" i="7"/>
  <c r="F56" i="7"/>
  <c r="Q56" i="7"/>
  <c r="G57" i="11"/>
  <c r="D57" i="11"/>
  <c r="E58" i="11"/>
  <c r="F58" i="11"/>
  <c r="Q58" i="11"/>
  <c r="F59" i="11"/>
  <c r="D58" i="11"/>
  <c r="G58" i="11"/>
  <c r="H58" i="11"/>
  <c r="F54" i="9"/>
  <c r="E54" i="9"/>
  <c r="E56" i="7"/>
  <c r="D56" i="7"/>
  <c r="D54" i="9"/>
  <c r="G54" i="9"/>
  <c r="V54" i="9"/>
  <c r="H54" i="9"/>
  <c r="R54" i="9"/>
  <c r="G56" i="7"/>
  <c r="U56" i="7"/>
  <c r="H56" i="7"/>
  <c r="P57" i="7"/>
  <c r="F57" i="7"/>
  <c r="D59" i="11"/>
  <c r="E59" i="11"/>
  <c r="Q55" i="9"/>
  <c r="Q57" i="7"/>
  <c r="E57" i="7"/>
  <c r="G57" i="7"/>
  <c r="U57" i="7"/>
  <c r="G59" i="11"/>
  <c r="N55" i="9"/>
  <c r="F55" i="9"/>
  <c r="D57" i="7"/>
  <c r="H57" i="7"/>
  <c r="P58" i="7"/>
  <c r="F58" i="7"/>
  <c r="F59" i="7"/>
  <c r="E55" i="9"/>
  <c r="R55" i="9"/>
  <c r="E58" i="7"/>
  <c r="G58" i="7"/>
  <c r="U58" i="7"/>
  <c r="Q58" i="7"/>
  <c r="G55" i="9"/>
  <c r="V55" i="9"/>
  <c r="D55" i="9"/>
  <c r="H55" i="9"/>
  <c r="Q56" i="9"/>
  <c r="F56" i="9"/>
  <c r="E56" i="9"/>
  <c r="H56" i="9"/>
  <c r="D58" i="7"/>
  <c r="D59" i="7"/>
  <c r="H58" i="7"/>
  <c r="E59" i="7"/>
  <c r="G59" i="7"/>
  <c r="G56" i="9"/>
  <c r="V56" i="9"/>
  <c r="D56" i="9"/>
  <c r="R56" i="9"/>
  <c r="Q57" i="9"/>
  <c r="F57" i="9"/>
  <c r="E57" i="9"/>
  <c r="R57" i="9"/>
  <c r="F58" i="9"/>
  <c r="G57" i="9"/>
  <c r="D57" i="9"/>
  <c r="D58" i="9"/>
  <c r="E58" i="9"/>
  <c r="H57" i="9"/>
  <c r="V57" i="9"/>
  <c r="V45" i="9"/>
  <c r="G13" i="9"/>
  <c r="H23" i="9"/>
  <c r="G58" i="9"/>
  <c r="C26" i="11"/>
  <c r="D26" i="11"/>
  <c r="D24" i="7"/>
  <c r="P24" i="7"/>
  <c r="G24" i="7"/>
  <c r="R24" i="7"/>
  <c r="D33" i="7"/>
  <c r="C31" i="11"/>
  <c r="D31" i="11"/>
  <c r="D30" i="7"/>
  <c r="C28" i="9"/>
  <c r="D28" i="9"/>
  <c r="C32" i="9"/>
  <c r="D32" i="9"/>
  <c r="C25" i="9"/>
  <c r="D25" i="9"/>
  <c r="C36" i="11"/>
  <c r="D36" i="11"/>
  <c r="D29" i="7"/>
  <c r="G24" i="11"/>
  <c r="R24" i="11"/>
  <c r="Q24" i="11"/>
  <c r="D27" i="7"/>
  <c r="C32" i="11"/>
  <c r="D32" i="11"/>
  <c r="C35" i="11"/>
  <c r="D35" i="11"/>
  <c r="C31" i="9"/>
  <c r="D31" i="9"/>
  <c r="C27" i="9"/>
  <c r="D27" i="9"/>
  <c r="C30" i="9"/>
  <c r="D30" i="9"/>
  <c r="D34" i="7"/>
  <c r="C29" i="9"/>
  <c r="D29" i="9"/>
  <c r="C33" i="9"/>
  <c r="D33" i="9"/>
  <c r="C24" i="9"/>
  <c r="D24" i="9"/>
  <c r="Q24" i="9"/>
  <c r="C26" i="9"/>
  <c r="D26" i="9"/>
  <c r="C34" i="9"/>
  <c r="D34" i="9"/>
  <c r="U45" i="7"/>
  <c r="G13" i="7"/>
  <c r="H23" i="7"/>
  <c r="G13" i="11"/>
  <c r="H23" i="11"/>
  <c r="P15" i="11"/>
  <c r="F24" i="11"/>
  <c r="Q24" i="7"/>
  <c r="F24" i="7"/>
  <c r="H24" i="11"/>
  <c r="I24" i="11"/>
  <c r="E24" i="11"/>
  <c r="H24" i="7"/>
  <c r="E24" i="7"/>
  <c r="I24" i="7"/>
  <c r="P25" i="7"/>
  <c r="P25" i="11"/>
  <c r="X24" i="9"/>
  <c r="N24" i="9"/>
  <c r="G25" i="7"/>
  <c r="G25" i="11"/>
  <c r="R25" i="11"/>
  <c r="S24" i="9"/>
  <c r="G24" i="9"/>
  <c r="F24" i="9"/>
  <c r="H24" i="9"/>
  <c r="E24" i="9"/>
  <c r="I24" i="9"/>
  <c r="Q25" i="11"/>
  <c r="F25" i="11"/>
  <c r="F25" i="7"/>
  <c r="R24" i="9"/>
  <c r="R25" i="7"/>
  <c r="Q25" i="7"/>
  <c r="E25" i="11"/>
  <c r="H25" i="11"/>
  <c r="I25" i="11"/>
  <c r="Q25" i="9"/>
  <c r="E25" i="7"/>
  <c r="H25" i="7"/>
  <c r="I25" i="7"/>
  <c r="X25" i="9"/>
  <c r="N25" i="9"/>
  <c r="P26" i="7"/>
  <c r="P26" i="11"/>
  <c r="G26" i="11"/>
  <c r="R26" i="11"/>
  <c r="S25" i="9"/>
  <c r="G25" i="9"/>
  <c r="G26" i="7"/>
  <c r="Q26" i="11"/>
  <c r="R25" i="9"/>
  <c r="F26" i="7"/>
  <c r="R26" i="7"/>
  <c r="Q26" i="7"/>
  <c r="F25" i="9"/>
  <c r="F26" i="11"/>
  <c r="E26" i="7"/>
  <c r="H26" i="7"/>
  <c r="I26" i="7"/>
  <c r="E26" i="11"/>
  <c r="H26" i="11"/>
  <c r="I26" i="11"/>
  <c r="H25" i="9"/>
  <c r="E25" i="9"/>
  <c r="I25" i="9"/>
  <c r="Q26" i="9"/>
  <c r="P27" i="11"/>
  <c r="X26" i="9"/>
  <c r="N26" i="9"/>
  <c r="S26" i="9"/>
  <c r="P27" i="7"/>
  <c r="G26" i="9"/>
  <c r="R26" i="9"/>
  <c r="G27" i="11"/>
  <c r="G27" i="7"/>
  <c r="F27" i="7"/>
  <c r="R27" i="7"/>
  <c r="Q27" i="7"/>
  <c r="F27" i="11"/>
  <c r="R27" i="11"/>
  <c r="Q27" i="11"/>
  <c r="F26" i="9"/>
  <c r="H27" i="7"/>
  <c r="E27" i="7"/>
  <c r="I27" i="7"/>
  <c r="E26" i="9"/>
  <c r="H26" i="9"/>
  <c r="I26" i="9"/>
  <c r="E27" i="11"/>
  <c r="H27" i="11"/>
  <c r="I27" i="11"/>
  <c r="P28" i="7"/>
  <c r="X27" i="9"/>
  <c r="N27" i="9"/>
  <c r="S27" i="9"/>
  <c r="Q27" i="9"/>
  <c r="P28" i="11"/>
  <c r="G28" i="11"/>
  <c r="G27" i="9"/>
  <c r="R27" i="9"/>
  <c r="G28" i="7"/>
  <c r="R28" i="7"/>
  <c r="Q28" i="7"/>
  <c r="F28" i="11"/>
  <c r="F27" i="9"/>
  <c r="F28" i="7"/>
  <c r="R28" i="11"/>
  <c r="Q28" i="11"/>
  <c r="H28" i="11"/>
  <c r="E28" i="11"/>
  <c r="I28" i="11"/>
  <c r="E28" i="7"/>
  <c r="H28" i="7"/>
  <c r="I28" i="7"/>
  <c r="H27" i="9"/>
  <c r="E27" i="9"/>
  <c r="I27" i="9"/>
  <c r="X28" i="9"/>
  <c r="N28" i="9"/>
  <c r="S28" i="9"/>
  <c r="Q28" i="9"/>
  <c r="P29" i="7"/>
  <c r="P29" i="11"/>
  <c r="G28" i="9"/>
  <c r="R28" i="9"/>
  <c r="G29" i="7"/>
  <c r="F29" i="7"/>
  <c r="G29" i="11"/>
  <c r="F29" i="11"/>
  <c r="F28" i="9"/>
  <c r="I28" i="9"/>
  <c r="R29" i="11"/>
  <c r="Q29" i="11"/>
  <c r="H29" i="7"/>
  <c r="E29" i="7"/>
  <c r="R29" i="7"/>
  <c r="I29" i="7"/>
  <c r="E29" i="11"/>
  <c r="H29" i="11"/>
  <c r="E28" i="9"/>
  <c r="H28" i="9"/>
  <c r="I29" i="11"/>
  <c r="Q29" i="7"/>
  <c r="P30" i="7"/>
  <c r="Q29" i="9"/>
  <c r="P30" i="11"/>
  <c r="G30" i="11"/>
  <c r="X29" i="9"/>
  <c r="N29" i="9"/>
  <c r="S29" i="9"/>
  <c r="G30" i="7"/>
  <c r="F30" i="7"/>
  <c r="H30" i="7"/>
  <c r="F30" i="11"/>
  <c r="G29" i="9"/>
  <c r="F29" i="9"/>
  <c r="R30" i="11"/>
  <c r="Q30" i="11"/>
  <c r="R30" i="7"/>
  <c r="Q30" i="7"/>
  <c r="E30" i="7"/>
  <c r="E29" i="9"/>
  <c r="H29" i="9"/>
  <c r="I29" i="9"/>
  <c r="R29" i="9"/>
  <c r="H30" i="11"/>
  <c r="X30" i="9"/>
  <c r="N30" i="9"/>
  <c r="S30" i="9"/>
  <c r="E30" i="11"/>
  <c r="I30" i="11"/>
  <c r="I30" i="7"/>
  <c r="P31" i="7"/>
  <c r="Q30" i="9"/>
  <c r="G30" i="9"/>
  <c r="F30" i="9"/>
  <c r="P31" i="11"/>
  <c r="H30" i="9"/>
  <c r="E30" i="9"/>
  <c r="I30" i="9"/>
  <c r="R30" i="9"/>
  <c r="G31" i="7"/>
  <c r="F31" i="7"/>
  <c r="G31" i="11"/>
  <c r="F31" i="11"/>
  <c r="R31" i="11"/>
  <c r="I31" i="11"/>
  <c r="R31" i="7"/>
  <c r="Q31" i="7"/>
  <c r="Q31" i="9"/>
  <c r="H31" i="7"/>
  <c r="E31" i="7"/>
  <c r="I31" i="7"/>
  <c r="Q31" i="11"/>
  <c r="H31" i="11"/>
  <c r="E31" i="11"/>
  <c r="X31" i="9"/>
  <c r="N31" i="9"/>
  <c r="P32" i="7"/>
  <c r="P32" i="11"/>
  <c r="G32" i="11"/>
  <c r="F32" i="11"/>
  <c r="H32" i="11"/>
  <c r="E32" i="11"/>
  <c r="S31" i="9"/>
  <c r="R32" i="11"/>
  <c r="I32" i="11"/>
  <c r="G32" i="7"/>
  <c r="F32" i="7"/>
  <c r="G31" i="9"/>
  <c r="R31" i="9"/>
  <c r="Q32" i="11"/>
  <c r="P33" i="11"/>
  <c r="R32" i="7"/>
  <c r="I32" i="7"/>
  <c r="F31" i="9"/>
  <c r="X32" i="9"/>
  <c r="N32" i="9"/>
  <c r="S32" i="9"/>
  <c r="H32" i="7"/>
  <c r="E32" i="7"/>
  <c r="G33" i="11"/>
  <c r="F33" i="11"/>
  <c r="P33" i="7"/>
  <c r="Q32" i="7"/>
  <c r="R33" i="11"/>
  <c r="Q33" i="11"/>
  <c r="E31" i="9"/>
  <c r="H31" i="9"/>
  <c r="I31" i="9"/>
  <c r="E33" i="11"/>
  <c r="H33" i="11"/>
  <c r="I33" i="11"/>
  <c r="Q32" i="9"/>
  <c r="G33" i="7"/>
  <c r="F33" i="7"/>
  <c r="R33" i="7"/>
  <c r="Q33" i="7"/>
  <c r="X33" i="9"/>
  <c r="N33" i="9"/>
  <c r="G32" i="9"/>
  <c r="F32" i="9"/>
  <c r="H33" i="7"/>
  <c r="E33" i="7"/>
  <c r="P34" i="11"/>
  <c r="I33" i="7"/>
  <c r="P36" i="7"/>
  <c r="H32" i="9"/>
  <c r="E32" i="9"/>
  <c r="I32" i="9"/>
  <c r="G34" i="11"/>
  <c r="F34" i="11"/>
  <c r="R32" i="9"/>
  <c r="P34" i="7"/>
  <c r="H34" i="11"/>
  <c r="E34" i="11"/>
  <c r="R34" i="11"/>
  <c r="I34" i="11"/>
  <c r="G34" i="7"/>
  <c r="F34" i="7"/>
  <c r="Q33" i="9"/>
  <c r="G33" i="9"/>
  <c r="F33" i="9"/>
  <c r="S33" i="9"/>
  <c r="Q34" i="11"/>
  <c r="H33" i="9"/>
  <c r="E33" i="9"/>
  <c r="I33" i="9"/>
  <c r="F35" i="11"/>
  <c r="P35" i="11"/>
  <c r="R33" i="9"/>
  <c r="H34" i="7"/>
  <c r="E34" i="7"/>
  <c r="R34" i="7"/>
  <c r="I34" i="7"/>
  <c r="X34" i="9"/>
  <c r="N34" i="9"/>
  <c r="P35" i="7"/>
  <c r="F35" i="7"/>
  <c r="Q34" i="7"/>
  <c r="G35" i="11"/>
  <c r="Q34" i="9"/>
  <c r="E35" i="11"/>
  <c r="G34" i="9"/>
  <c r="F34" i="9"/>
  <c r="E34" i="9"/>
  <c r="H35" i="11"/>
  <c r="R35" i="11"/>
  <c r="I35" i="11"/>
  <c r="G35" i="7"/>
  <c r="E35" i="7"/>
  <c r="H34" i="9"/>
  <c r="S34" i="9"/>
  <c r="P36" i="11"/>
  <c r="F36" i="11"/>
  <c r="X35" i="9"/>
  <c r="N35" i="9"/>
  <c r="R35" i="7"/>
  <c r="I35" i="7"/>
  <c r="H35" i="7"/>
  <c r="Q35" i="11"/>
  <c r="R34" i="9"/>
  <c r="I34" i="9"/>
  <c r="E36" i="11"/>
  <c r="E37" i="11"/>
  <c r="F37" i="11"/>
  <c r="F36" i="7"/>
  <c r="G36" i="11"/>
  <c r="G37" i="11"/>
  <c r="Q35" i="7"/>
  <c r="G36" i="7"/>
  <c r="F35" i="9"/>
  <c r="Q35" i="9"/>
  <c r="H36" i="11"/>
  <c r="R36" i="11"/>
  <c r="I36" i="11"/>
  <c r="G37" i="7"/>
  <c r="R36" i="7"/>
  <c r="I36" i="7"/>
  <c r="E36" i="7"/>
  <c r="E37" i="7"/>
  <c r="H36" i="7"/>
  <c r="F37" i="7"/>
  <c r="Q36" i="11"/>
  <c r="G35" i="9"/>
  <c r="G37" i="9"/>
  <c r="E35" i="9"/>
  <c r="E37" i="9"/>
  <c r="F37" i="9"/>
  <c r="G15" i="7"/>
  <c r="H37" i="7"/>
  <c r="G15" i="11"/>
  <c r="H37" i="11"/>
  <c r="Q36" i="7"/>
  <c r="S35" i="9"/>
  <c r="R35" i="9"/>
  <c r="H35" i="9"/>
  <c r="H37" i="9"/>
  <c r="I35" i="9"/>
  <c r="I37" i="9"/>
  <c r="T36" i="7"/>
  <c r="U36" i="7"/>
  <c r="G16" i="7"/>
  <c r="G17" i="7"/>
  <c r="T24" i="7"/>
  <c r="T25" i="7"/>
  <c r="U25" i="7"/>
  <c r="T26" i="7"/>
  <c r="U26" i="7"/>
  <c r="T27" i="7"/>
  <c r="U27" i="7"/>
  <c r="T28" i="7"/>
  <c r="U28" i="7"/>
  <c r="T29" i="7"/>
  <c r="U29" i="7"/>
  <c r="T30" i="7"/>
  <c r="U30" i="7"/>
  <c r="T31" i="7"/>
  <c r="U31" i="7"/>
  <c r="T32" i="7"/>
  <c r="U32" i="7"/>
  <c r="T33" i="7"/>
  <c r="U33" i="7"/>
  <c r="T34" i="7"/>
  <c r="U34" i="7"/>
  <c r="T35" i="7"/>
  <c r="U35" i="7"/>
  <c r="T30" i="11"/>
  <c r="U30" i="11"/>
  <c r="G16" i="11"/>
  <c r="G17" i="11"/>
  <c r="T24" i="11"/>
  <c r="T25" i="11"/>
  <c r="U25" i="11"/>
  <c r="T26" i="11"/>
  <c r="U26" i="11"/>
  <c r="T27" i="11"/>
  <c r="U27" i="11"/>
  <c r="T28" i="11"/>
  <c r="U28" i="11"/>
  <c r="T29" i="11"/>
  <c r="U29" i="11"/>
  <c r="T31" i="11"/>
  <c r="U31" i="11"/>
  <c r="T32" i="11"/>
  <c r="U32" i="11"/>
  <c r="T33" i="11"/>
  <c r="U33" i="11"/>
  <c r="T34" i="11"/>
  <c r="U34" i="11"/>
  <c r="T35" i="11"/>
  <c r="U35" i="11"/>
  <c r="T36" i="11"/>
  <c r="U36" i="11"/>
  <c r="G15" i="9"/>
  <c r="U26" i="9"/>
  <c r="V26" i="9"/>
  <c r="U24" i="7"/>
  <c r="U37" i="7"/>
  <c r="T37" i="7"/>
  <c r="U24" i="11"/>
  <c r="U37" i="11"/>
  <c r="T37" i="11"/>
  <c r="U38" i="11"/>
  <c r="U39" i="11"/>
  <c r="G14" i="11"/>
  <c r="U29" i="9"/>
  <c r="V29" i="9"/>
  <c r="U28" i="9"/>
  <c r="V28" i="9"/>
  <c r="U27" i="9"/>
  <c r="V27" i="9"/>
  <c r="G16" i="9"/>
  <c r="G17" i="9"/>
  <c r="U33" i="9"/>
  <c r="V33" i="9"/>
  <c r="U35" i="9"/>
  <c r="V35" i="9"/>
  <c r="U32" i="9"/>
  <c r="V32" i="9"/>
  <c r="U34" i="9"/>
  <c r="V34" i="9"/>
  <c r="U31" i="9"/>
  <c r="V31" i="9"/>
  <c r="U30" i="9"/>
  <c r="V30" i="9"/>
  <c r="U25" i="9"/>
  <c r="V25" i="9"/>
  <c r="U24" i="9"/>
  <c r="V24" i="9"/>
  <c r="U38" i="7"/>
  <c r="U39" i="7"/>
  <c r="G14" i="7"/>
  <c r="U37" i="9"/>
  <c r="V37" i="9"/>
  <c r="V38" i="9"/>
  <c r="V39" i="9"/>
  <c r="G14" i="9"/>
</calcChain>
</file>

<file path=xl/sharedStrings.xml><?xml version="1.0" encoding="utf-8"?>
<sst xmlns="http://schemas.openxmlformats.org/spreadsheetml/2006/main" count="172" uniqueCount="43">
  <si>
    <t>Fecha</t>
  </si>
  <si>
    <t>Amortización</t>
  </si>
  <si>
    <t>Interés</t>
  </si>
  <si>
    <t>Días</t>
  </si>
  <si>
    <t>Total Flujo</t>
  </si>
  <si>
    <t>Duration</t>
  </si>
  <si>
    <t>% Amortiz.</t>
  </si>
  <si>
    <t>Precio de Corte:</t>
  </si>
  <si>
    <t>Saldo de Capital</t>
  </si>
  <si>
    <t>Spread:</t>
  </si>
  <si>
    <t>Duration (meses):</t>
  </si>
  <si>
    <t>TIR REAL:</t>
  </si>
  <si>
    <t>Valor Nominal:</t>
  </si>
  <si>
    <t>TIR Solicitada:</t>
  </si>
  <si>
    <t>TNA:</t>
  </si>
  <si>
    <t>Spread sobre Badlar:</t>
  </si>
  <si>
    <t>Mínimo</t>
  </si>
  <si>
    <t>Máximo</t>
  </si>
  <si>
    <t>Dev. VDF B</t>
  </si>
  <si>
    <t>(Cupón Mínimo)</t>
  </si>
  <si>
    <t>Flujo Disponible</t>
  </si>
  <si>
    <t>Interés Período Devengado</t>
  </si>
  <si>
    <t>Interés Acumulado a Pagar</t>
  </si>
  <si>
    <t>Fecha Devengamiento</t>
  </si>
  <si>
    <t>VP</t>
  </si>
  <si>
    <t>Dev. VDF A</t>
  </si>
  <si>
    <t>VDF A</t>
  </si>
  <si>
    <t>VDF B</t>
  </si>
  <si>
    <t>Cupón</t>
  </si>
  <si>
    <t>Cupón Mínimo</t>
  </si>
  <si>
    <t>Flujo de Fondos Teórico al Cupón Mínimo</t>
  </si>
  <si>
    <t>Instrucciones</t>
  </si>
  <si>
    <t>Tasa Badlar Proyectada</t>
  </si>
  <si>
    <t>Spread s/Badlar:</t>
  </si>
  <si>
    <t>(*)</t>
  </si>
  <si>
    <t>(*) Última Tasa Badlar informada</t>
  </si>
  <si>
    <t>Interés Capitalizado</t>
  </si>
  <si>
    <t>Flujo de Fondos Real</t>
  </si>
  <si>
    <t>En las celdas D12 y G12 coloque la cantidad de títulos a suscribir y la TIR ofertada. En la columna C cargar la Tasa Badlar estimada. En la celda D37 indicar la última Tasa Badlar informada.</t>
  </si>
  <si>
    <t>En las celdas D12 y G12 coloque la cantidad de títulos a suscribir y la TIR ofertada. En la columna C cargar la Tasa Badlar estimada. En la celda D36 indicar la última Tasa Badlar informada.</t>
  </si>
  <si>
    <t>En las celdas D12 y G12 coloque la cantidad de títulos a suscribir y la TIR ofertada. En la columna C cargar la Tasa Badlar estimada. En la celda D35 indicar la última Tasa Badlar informada.</t>
  </si>
  <si>
    <t>Calculadora Fideicomiso Financiero AGINCO I (VDF A)</t>
  </si>
  <si>
    <t>Calculadora Fideicomiso Financiero AGINCO I (VDF 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</si>
</sst>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&quot;$&quot;\ #,##0;&quot;$&quot;\ \-#,##0"/>
    <numFmt numFmtId="165" formatCode="&quot;$&quot;\ #,##0;[Red]&quot;$&quot;\ \-#,##0"/>
    <numFmt numFmtId="166" formatCode="&quot;$&quot;\ #,##0.00;&quot;$&quot;\ \-#,##0.00"/>
    <numFmt numFmtId="167" formatCode="&quot;$&quot;\ #,##0.00;[Red]&quot;$&quot;\ \-#,##0.00"/>
    <numFmt numFmtId="168" formatCode="_ * #,##0.00_ ;_ * \-#,##0.00_ ;_ * &quot;-&quot;??_ ;_ @_ "/>
    <numFmt numFmtId="169" formatCode="_-* #,##0.00\ _P_t_s_-;\-* #,##0.00\ _P_t_s_-;_-* &quot;-&quot;??\ _P_t_s_-;_-@_-"/>
    <numFmt numFmtId="170" formatCode="_-* #,##0\ _P_t_s_-;\-* #,##0\ _P_t_s_-;_-* &quot;-&quot;??\ _P_t_s_-;_-@_-"/>
    <numFmt numFmtId="171" formatCode="_-* #,##0.00\ [$€]_-;\-* #,##0.00\ [$€]_-;_-* &quot;-&quot;??\ [$€]_-;_-@_-"/>
    <numFmt numFmtId="172" formatCode="0.0000%"/>
    <numFmt numFmtId="173" formatCode="&quot;$&quot;\ #,##0.000000;&quot;$&quot;\ \-#,##0.000000"/>
    <numFmt numFmtId="174" formatCode="&quot;$&quot;\ #,##0.0000;&quot;$&quot;\ \-#,##0.0000"/>
    <numFmt numFmtId="175" formatCode="0.000%"/>
    <numFmt numFmtId="176" formatCode="_-* #,##0.000\ _P_t_s_-;\-* #,##0.000\ _P_t_s_-;_-* &quot;-&quot;??\ _P_t_s_-;_-@_-"/>
    <numFmt numFmtId="177" formatCode="0.00000%"/>
  </numFmts>
  <fonts count="2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2" tint="-0.749992370372631"/>
      <name val="Calibri"/>
      <family val="2"/>
      <scheme val="minor"/>
    </font>
    <font>
      <b/>
      <u/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2" tint="-0.74999237037263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65"/>
        <bgColor indexed="8"/>
      </patternFill>
    </fill>
    <fill>
      <patternFill patternType="solid">
        <fgColor theme="0" tint="-0.14999847407452621"/>
        <bgColor indexed="8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8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79998168889431442"/>
        <bgColor indexed="8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8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2" tint="-0.499984740745262"/>
      </right>
      <top/>
      <bottom/>
      <diagonal/>
    </border>
    <border>
      <left/>
      <right/>
      <top style="thin">
        <color theme="2" tint="-0.499984740745262"/>
      </top>
      <bottom/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/>
      <bottom/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/>
      <top/>
      <bottom/>
      <diagonal/>
    </border>
    <border>
      <left/>
      <right/>
      <top/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/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/>
      <top style="thin">
        <color theme="2" tint="-0.499984740745262"/>
      </top>
      <bottom style="thin">
        <color theme="2" tint="-0.499984740745262"/>
      </bottom>
      <diagonal/>
    </border>
  </borders>
  <cellStyleXfs count="6">
    <xf numFmtId="0" fontId="0" fillId="0" borderId="0"/>
    <xf numFmtId="0" fontId="2" fillId="0" borderId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99">
    <xf numFmtId="0" fontId="0" fillId="0" borderId="0" xfId="0"/>
    <xf numFmtId="0" fontId="6" fillId="2" borderId="0" xfId="0" applyFont="1" applyFill="1" applyBorder="1" applyProtection="1">
      <protection hidden="1"/>
    </xf>
    <xf numFmtId="0" fontId="6" fillId="2" borderId="0" xfId="0" applyFont="1" applyFill="1" applyProtection="1">
      <protection hidden="1"/>
    </xf>
    <xf numFmtId="0" fontId="7" fillId="3" borderId="0" xfId="0" applyFont="1" applyFill="1" applyProtection="1">
      <protection hidden="1"/>
    </xf>
    <xf numFmtId="0" fontId="7" fillId="3" borderId="0" xfId="0" applyFont="1" applyFill="1" applyBorder="1" applyProtection="1">
      <protection hidden="1"/>
    </xf>
    <xf numFmtId="0" fontId="7" fillId="4" borderId="0" xfId="0" applyFont="1" applyFill="1" applyProtection="1">
      <protection hidden="1"/>
    </xf>
    <xf numFmtId="0" fontId="6" fillId="4" borderId="0" xfId="0" applyFont="1" applyFill="1" applyProtection="1">
      <protection hidden="1"/>
    </xf>
    <xf numFmtId="16" fontId="7" fillId="3" borderId="0" xfId="0" applyNumberFormat="1" applyFont="1" applyFill="1" applyProtection="1">
      <protection hidden="1"/>
    </xf>
    <xf numFmtId="0" fontId="6" fillId="2" borderId="1" xfId="0" applyFont="1" applyFill="1" applyBorder="1" applyProtection="1">
      <protection hidden="1"/>
    </xf>
    <xf numFmtId="0" fontId="6" fillId="4" borderId="0" xfId="0" applyFont="1" applyFill="1" applyBorder="1" applyProtection="1">
      <protection hidden="1"/>
    </xf>
    <xf numFmtId="0" fontId="6" fillId="3" borderId="0" xfId="0" applyFont="1" applyFill="1" applyBorder="1" applyProtection="1">
      <protection hidden="1"/>
    </xf>
    <xf numFmtId="10" fontId="8" fillId="2" borderId="0" xfId="5" applyNumberFormat="1" applyFont="1" applyFill="1" applyBorder="1" applyProtection="1">
      <protection hidden="1"/>
    </xf>
    <xf numFmtId="0" fontId="6" fillId="3" borderId="0" xfId="0" applyFont="1" applyFill="1" applyProtection="1">
      <protection hidden="1"/>
    </xf>
    <xf numFmtId="0" fontId="8" fillId="3" borderId="2" xfId="0" applyFont="1" applyFill="1" applyBorder="1" applyProtection="1">
      <protection hidden="1"/>
    </xf>
    <xf numFmtId="167" fontId="8" fillId="3" borderId="3" xfId="3" applyNumberFormat="1" applyFont="1" applyFill="1" applyBorder="1" applyAlignment="1" applyProtection="1">
      <protection hidden="1"/>
    </xf>
    <xf numFmtId="0" fontId="6" fillId="5" borderId="0" xfId="0" applyFont="1" applyFill="1" applyProtection="1">
      <protection hidden="1"/>
    </xf>
    <xf numFmtId="0" fontId="6" fillId="5" borderId="0" xfId="0" applyFont="1" applyFill="1" applyBorder="1" applyProtection="1">
      <protection hidden="1"/>
    </xf>
    <xf numFmtId="10" fontId="6" fillId="2" borderId="0" xfId="0" applyNumberFormat="1" applyFont="1" applyFill="1" applyBorder="1" applyProtection="1">
      <protection hidden="1"/>
    </xf>
    <xf numFmtId="0" fontId="8" fillId="3" borderId="4" xfId="0" applyFont="1" applyFill="1" applyBorder="1" applyProtection="1">
      <protection hidden="1"/>
    </xf>
    <xf numFmtId="172" fontId="8" fillId="3" borderId="5" xfId="5" applyNumberFormat="1" applyFont="1" applyFill="1" applyBorder="1" applyProtection="1">
      <protection hidden="1"/>
    </xf>
    <xf numFmtId="172" fontId="9" fillId="5" borderId="0" xfId="5" applyNumberFormat="1" applyFont="1" applyFill="1" applyBorder="1" applyProtection="1">
      <protection hidden="1"/>
    </xf>
    <xf numFmtId="0" fontId="9" fillId="5" borderId="0" xfId="0" applyFont="1" applyFill="1" applyBorder="1" applyProtection="1">
      <protection hidden="1"/>
    </xf>
    <xf numFmtId="0" fontId="8" fillId="4" borderId="0" xfId="0" applyFont="1" applyFill="1" applyBorder="1" applyProtection="1">
      <protection hidden="1"/>
    </xf>
    <xf numFmtId="10" fontId="8" fillId="4" borderId="0" xfId="0" applyNumberFormat="1" applyFont="1" applyFill="1" applyBorder="1" applyAlignment="1" applyProtection="1">
      <alignment horizontal="center"/>
      <protection hidden="1"/>
    </xf>
    <xf numFmtId="10" fontId="10" fillId="2" borderId="0" xfId="0" applyNumberFormat="1" applyFont="1" applyFill="1" applyBorder="1" applyProtection="1">
      <protection hidden="1"/>
    </xf>
    <xf numFmtId="10" fontId="8" fillId="4" borderId="0" xfId="5" applyNumberFormat="1" applyFont="1" applyFill="1" applyBorder="1" applyProtection="1">
      <protection hidden="1"/>
    </xf>
    <xf numFmtId="0" fontId="8" fillId="3" borderId="0" xfId="0" applyFont="1" applyFill="1" applyBorder="1" applyAlignment="1" applyProtection="1">
      <alignment horizontal="center"/>
      <protection hidden="1"/>
    </xf>
    <xf numFmtId="0" fontId="6" fillId="2" borderId="0" xfId="0" applyFont="1" applyFill="1" applyAlignment="1" applyProtection="1">
      <alignment horizontal="center"/>
      <protection hidden="1"/>
    </xf>
    <xf numFmtId="0" fontId="8" fillId="3" borderId="6" xfId="0" applyFont="1" applyFill="1" applyBorder="1" applyAlignment="1" applyProtection="1">
      <alignment horizontal="center" vertical="center" wrapText="1"/>
      <protection hidden="1"/>
    </xf>
    <xf numFmtId="0" fontId="8" fillId="3" borderId="7" xfId="0" applyFont="1" applyFill="1" applyBorder="1" applyAlignment="1" applyProtection="1">
      <alignment horizontal="center" vertical="center" wrapText="1"/>
      <protection hidden="1"/>
    </xf>
    <xf numFmtId="0" fontId="8" fillId="3" borderId="0" xfId="0" applyFont="1" applyFill="1" applyBorder="1" applyAlignment="1" applyProtection="1">
      <alignment horizontal="center" vertical="center" wrapText="1"/>
      <protection hidden="1"/>
    </xf>
    <xf numFmtId="14" fontId="6" fillId="5" borderId="8" xfId="0" applyNumberFormat="1" applyFont="1" applyFill="1" applyBorder="1" applyAlignment="1" applyProtection="1">
      <alignment horizontal="center"/>
      <protection hidden="1"/>
    </xf>
    <xf numFmtId="14" fontId="6" fillId="3" borderId="6" xfId="0" applyNumberFormat="1" applyFont="1" applyFill="1" applyBorder="1" applyAlignment="1" applyProtection="1">
      <alignment horizontal="center"/>
      <protection hidden="1"/>
    </xf>
    <xf numFmtId="14" fontId="6" fillId="5" borderId="6" xfId="0" applyNumberFormat="1" applyFont="1" applyFill="1" applyBorder="1" applyAlignment="1" applyProtection="1">
      <alignment horizontal="center"/>
      <protection hidden="1"/>
    </xf>
    <xf numFmtId="0" fontId="6" fillId="5" borderId="0" xfId="0" applyNumberFormat="1" applyFont="1" applyFill="1" applyBorder="1" applyAlignment="1" applyProtection="1">
      <alignment horizontal="center"/>
      <protection hidden="1"/>
    </xf>
    <xf numFmtId="14" fontId="6" fillId="5" borderId="0" xfId="0" applyNumberFormat="1" applyFont="1" applyFill="1" applyBorder="1" applyAlignment="1" applyProtection="1">
      <alignment horizontal="center"/>
      <protection hidden="1"/>
    </xf>
    <xf numFmtId="169" fontId="6" fillId="2" borderId="1" xfId="3" applyFont="1" applyFill="1" applyBorder="1" applyProtection="1">
      <protection hidden="1"/>
    </xf>
    <xf numFmtId="170" fontId="6" fillId="2" borderId="0" xfId="0" applyNumberFormat="1" applyFont="1" applyFill="1" applyBorder="1" applyAlignment="1" applyProtection="1">
      <alignment horizontal="right"/>
      <protection hidden="1"/>
    </xf>
    <xf numFmtId="14" fontId="6" fillId="5" borderId="9" xfId="0" applyNumberFormat="1" applyFont="1" applyFill="1" applyBorder="1" applyAlignment="1" applyProtection="1">
      <alignment horizontal="center"/>
      <protection hidden="1"/>
    </xf>
    <xf numFmtId="14" fontId="6" fillId="3" borderId="9" xfId="0" applyNumberFormat="1" applyFont="1" applyFill="1" applyBorder="1" applyAlignment="1" applyProtection="1">
      <alignment horizontal="center"/>
      <protection hidden="1"/>
    </xf>
    <xf numFmtId="164" fontId="6" fillId="5" borderId="9" xfId="3" applyNumberFormat="1" applyFont="1" applyFill="1" applyBorder="1" applyAlignment="1" applyProtection="1">
      <alignment horizontal="center"/>
      <protection hidden="1"/>
    </xf>
    <xf numFmtId="164" fontId="6" fillId="5" borderId="0" xfId="3" applyNumberFormat="1" applyFont="1" applyFill="1" applyBorder="1" applyAlignment="1" applyProtection="1">
      <alignment horizontal="center"/>
      <protection hidden="1"/>
    </xf>
    <xf numFmtId="14" fontId="6" fillId="5" borderId="10" xfId="0" applyNumberFormat="1" applyFont="1" applyFill="1" applyBorder="1" applyAlignment="1" applyProtection="1">
      <alignment horizontal="center"/>
      <protection hidden="1"/>
    </xf>
    <xf numFmtId="14" fontId="6" fillId="3" borderId="10" xfId="0" applyNumberFormat="1" applyFont="1" applyFill="1" applyBorder="1" applyAlignment="1" applyProtection="1">
      <alignment horizontal="center"/>
      <protection hidden="1"/>
    </xf>
    <xf numFmtId="164" fontId="6" fillId="5" borderId="10" xfId="3" applyNumberFormat="1" applyFont="1" applyFill="1" applyBorder="1" applyAlignment="1" applyProtection="1">
      <alignment horizontal="center"/>
      <protection hidden="1"/>
    </xf>
    <xf numFmtId="169" fontId="6" fillId="3" borderId="0" xfId="3" applyFont="1" applyFill="1" applyProtection="1">
      <protection hidden="1"/>
    </xf>
    <xf numFmtId="170" fontId="8" fillId="3" borderId="7" xfId="3" applyNumberFormat="1" applyFont="1" applyFill="1" applyBorder="1" applyProtection="1">
      <protection hidden="1"/>
    </xf>
    <xf numFmtId="2" fontId="6" fillId="3" borderId="0" xfId="0" applyNumberFormat="1" applyFont="1" applyFill="1" applyAlignment="1" applyProtection="1">
      <alignment horizontal="center"/>
      <protection hidden="1"/>
    </xf>
    <xf numFmtId="10" fontId="6" fillId="0" borderId="0" xfId="0" applyNumberFormat="1" applyFont="1" applyFill="1" applyBorder="1" applyAlignment="1" applyProtection="1">
      <alignment horizontal="center"/>
      <protection hidden="1"/>
    </xf>
    <xf numFmtId="164" fontId="6" fillId="6" borderId="0" xfId="3" applyNumberFormat="1" applyFont="1" applyFill="1" applyBorder="1" applyAlignment="1" applyProtection="1">
      <alignment horizontal="center"/>
      <protection hidden="1"/>
    </xf>
    <xf numFmtId="164" fontId="7" fillId="3" borderId="0" xfId="0" applyNumberFormat="1" applyFont="1" applyFill="1" applyProtection="1">
      <protection hidden="1"/>
    </xf>
    <xf numFmtId="164" fontId="7" fillId="3" borderId="0" xfId="0" applyNumberFormat="1" applyFont="1" applyFill="1" applyBorder="1" applyProtection="1">
      <protection hidden="1"/>
    </xf>
    <xf numFmtId="10" fontId="6" fillId="2" borderId="0" xfId="5" applyNumberFormat="1" applyFont="1" applyFill="1" applyProtection="1">
      <protection hidden="1"/>
    </xf>
    <xf numFmtId="0" fontId="6" fillId="2" borderId="0" xfId="0" applyNumberFormat="1" applyFont="1" applyFill="1" applyProtection="1">
      <protection hidden="1"/>
    </xf>
    <xf numFmtId="169" fontId="6" fillId="4" borderId="1" xfId="3" applyFont="1" applyFill="1" applyBorder="1" applyProtection="1">
      <protection hidden="1"/>
    </xf>
    <xf numFmtId="14" fontId="11" fillId="4" borderId="0" xfId="0" applyNumberFormat="1" applyFont="1" applyFill="1" applyBorder="1" applyProtection="1">
      <protection hidden="1"/>
    </xf>
    <xf numFmtId="10" fontId="9" fillId="4" borderId="0" xfId="5" applyNumberFormat="1" applyFont="1" applyFill="1" applyBorder="1" applyAlignment="1" applyProtection="1">
      <alignment horizontal="center"/>
      <protection hidden="1"/>
    </xf>
    <xf numFmtId="170" fontId="6" fillId="4" borderId="0" xfId="0" applyNumberFormat="1" applyFont="1" applyFill="1" applyBorder="1" applyAlignment="1" applyProtection="1">
      <alignment horizontal="right"/>
      <protection hidden="1"/>
    </xf>
    <xf numFmtId="0" fontId="6" fillId="2" borderId="21" xfId="0" applyFont="1" applyFill="1" applyBorder="1" applyProtection="1">
      <protection hidden="1"/>
    </xf>
    <xf numFmtId="0" fontId="9" fillId="7" borderId="0" xfId="0" applyFont="1" applyFill="1" applyBorder="1" applyAlignment="1" applyProtection="1">
      <alignment horizontal="center" vertical="center" wrapText="1"/>
      <protection hidden="1"/>
    </xf>
    <xf numFmtId="169" fontId="6" fillId="2" borderId="0" xfId="0" applyNumberFormat="1" applyFont="1" applyFill="1" applyBorder="1" applyAlignment="1" applyProtection="1">
      <alignment horizontal="center"/>
      <protection hidden="1"/>
    </xf>
    <xf numFmtId="0" fontId="8" fillId="2" borderId="0" xfId="0" applyFont="1" applyFill="1" applyBorder="1" applyAlignment="1" applyProtection="1">
      <alignment horizontal="center"/>
      <protection hidden="1"/>
    </xf>
    <xf numFmtId="164" fontId="11" fillId="6" borderId="22" xfId="0" applyNumberFormat="1" applyFont="1" applyFill="1" applyBorder="1" applyAlignment="1" applyProtection="1">
      <alignment horizontal="center"/>
      <protection hidden="1"/>
    </xf>
    <xf numFmtId="164" fontId="9" fillId="6" borderId="22" xfId="3" applyNumberFormat="1" applyFont="1" applyFill="1" applyBorder="1" applyAlignment="1" applyProtection="1">
      <alignment horizontal="center"/>
      <protection hidden="1"/>
    </xf>
    <xf numFmtId="0" fontId="9" fillId="7" borderId="22" xfId="0" applyFont="1" applyFill="1" applyBorder="1" applyAlignment="1" applyProtection="1">
      <alignment horizontal="center" vertical="center" wrapText="1"/>
      <protection hidden="1"/>
    </xf>
    <xf numFmtId="0" fontId="9" fillId="7" borderId="23" xfId="0" applyFont="1" applyFill="1" applyBorder="1" applyAlignment="1" applyProtection="1">
      <alignment horizontal="center" vertical="center" wrapText="1"/>
      <protection hidden="1"/>
    </xf>
    <xf numFmtId="0" fontId="9" fillId="7" borderId="24" xfId="0" applyFont="1" applyFill="1" applyBorder="1" applyAlignment="1" applyProtection="1">
      <alignment horizontal="center" vertical="center" wrapText="1"/>
      <protection hidden="1"/>
    </xf>
    <xf numFmtId="14" fontId="11" fillId="7" borderId="25" xfId="0" applyNumberFormat="1" applyFont="1" applyFill="1" applyBorder="1" applyProtection="1">
      <protection hidden="1"/>
    </xf>
    <xf numFmtId="10" fontId="11" fillId="8" borderId="25" xfId="0" applyNumberFormat="1" applyFont="1" applyFill="1" applyBorder="1" applyAlignment="1" applyProtection="1">
      <alignment horizontal="center"/>
      <protection hidden="1"/>
    </xf>
    <xf numFmtId="10" fontId="9" fillId="7" borderId="25" xfId="5" applyNumberFormat="1" applyFont="1" applyFill="1" applyBorder="1" applyAlignment="1" applyProtection="1">
      <alignment horizontal="center"/>
      <protection hidden="1"/>
    </xf>
    <xf numFmtId="164" fontId="9" fillId="8" borderId="26" xfId="3" applyNumberFormat="1" applyFont="1" applyFill="1" applyBorder="1" applyAlignment="1" applyProtection="1">
      <alignment horizontal="center"/>
      <protection hidden="1"/>
    </xf>
    <xf numFmtId="164" fontId="9" fillId="8" borderId="25" xfId="3" applyNumberFormat="1" applyFont="1" applyFill="1" applyBorder="1" applyAlignment="1" applyProtection="1">
      <alignment horizontal="center"/>
      <protection hidden="1"/>
    </xf>
    <xf numFmtId="164" fontId="11" fillId="8" borderId="26" xfId="0" applyNumberFormat="1" applyFont="1" applyFill="1" applyBorder="1" applyAlignment="1" applyProtection="1">
      <alignment horizontal="center"/>
      <protection hidden="1"/>
    </xf>
    <xf numFmtId="14" fontId="12" fillId="0" borderId="0" xfId="0" applyNumberFormat="1" applyFont="1" applyFill="1" applyBorder="1" applyAlignment="1" applyProtection="1">
      <alignment horizontal="center"/>
      <protection hidden="1"/>
    </xf>
    <xf numFmtId="10" fontId="6" fillId="0" borderId="0" xfId="0" applyNumberFormat="1" applyFont="1" applyFill="1" applyBorder="1" applyProtection="1">
      <protection hidden="1"/>
    </xf>
    <xf numFmtId="0" fontId="6" fillId="0" borderId="0" xfId="0" applyFont="1" applyFill="1" applyBorder="1" applyProtection="1">
      <protection hidden="1"/>
    </xf>
    <xf numFmtId="164" fontId="6" fillId="0" borderId="0" xfId="0" applyNumberFormat="1" applyFont="1" applyFill="1" applyBorder="1" applyAlignment="1" applyProtection="1">
      <alignment horizontal="center"/>
      <protection hidden="1"/>
    </xf>
    <xf numFmtId="164" fontId="6" fillId="0" borderId="0" xfId="3" applyNumberFormat="1" applyFont="1" applyFill="1" applyBorder="1" applyAlignment="1" applyProtection="1">
      <alignment horizontal="center"/>
      <protection hidden="1"/>
    </xf>
    <xf numFmtId="172" fontId="6" fillId="0" borderId="0" xfId="0" applyNumberFormat="1" applyFont="1" applyFill="1" applyBorder="1" applyAlignment="1" applyProtection="1">
      <alignment horizontal="center"/>
      <protection hidden="1"/>
    </xf>
    <xf numFmtId="170" fontId="6" fillId="0" borderId="0" xfId="3" applyNumberFormat="1" applyFont="1" applyFill="1" applyBorder="1" applyAlignment="1" applyProtection="1">
      <alignment horizontal="center"/>
      <protection hidden="1"/>
    </xf>
    <xf numFmtId="165" fontId="8" fillId="9" borderId="0" xfId="3" applyNumberFormat="1" applyFont="1" applyFill="1" applyBorder="1" applyAlignment="1" applyProtection="1">
      <alignment horizontal="center"/>
      <protection locked="0"/>
    </xf>
    <xf numFmtId="10" fontId="8" fillId="9" borderId="0" xfId="5" applyNumberFormat="1" applyFont="1" applyFill="1" applyBorder="1" applyProtection="1">
      <protection locked="0"/>
    </xf>
    <xf numFmtId="0" fontId="8" fillId="6" borderId="0" xfId="0" applyFont="1" applyFill="1" applyBorder="1" applyProtection="1">
      <protection hidden="1"/>
    </xf>
    <xf numFmtId="168" fontId="8" fillId="6" borderId="0" xfId="5" applyNumberFormat="1" applyFont="1" applyFill="1" applyBorder="1" applyProtection="1">
      <protection hidden="1"/>
    </xf>
    <xf numFmtId="0" fontId="2" fillId="2" borderId="0" xfId="0" applyFont="1" applyFill="1" applyProtection="1">
      <protection hidden="1"/>
    </xf>
    <xf numFmtId="0" fontId="2" fillId="2" borderId="0" xfId="0" applyFont="1" applyFill="1" applyBorder="1" applyProtection="1">
      <protection hidden="1"/>
    </xf>
    <xf numFmtId="0" fontId="4" fillId="3" borderId="0" xfId="0" applyFont="1" applyFill="1" applyProtection="1">
      <protection hidden="1"/>
    </xf>
    <xf numFmtId="0" fontId="4" fillId="3" borderId="0" xfId="0" applyFont="1" applyFill="1" applyBorder="1" applyProtection="1">
      <protection hidden="1"/>
    </xf>
    <xf numFmtId="0" fontId="2" fillId="3" borderId="0" xfId="0" applyFont="1" applyFill="1" applyProtection="1">
      <protection hidden="1"/>
    </xf>
    <xf numFmtId="0" fontId="2" fillId="2" borderId="1" xfId="0" applyFont="1" applyFill="1" applyBorder="1" applyProtection="1">
      <protection hidden="1"/>
    </xf>
    <xf numFmtId="16" fontId="4" fillId="3" borderId="0" xfId="0" applyNumberFormat="1" applyFont="1" applyFill="1" applyProtection="1">
      <protection hidden="1"/>
    </xf>
    <xf numFmtId="170" fontId="4" fillId="3" borderId="0" xfId="3" applyNumberFormat="1" applyFont="1" applyFill="1" applyProtection="1">
      <protection hidden="1"/>
    </xf>
    <xf numFmtId="10" fontId="3" fillId="2" borderId="0" xfId="5" applyNumberFormat="1" applyFont="1" applyFill="1" applyBorder="1" applyProtection="1">
      <protection hidden="1"/>
    </xf>
    <xf numFmtId="169" fontId="4" fillId="3" borderId="0" xfId="3" applyFont="1" applyFill="1" applyProtection="1">
      <protection hidden="1"/>
    </xf>
    <xf numFmtId="0" fontId="2" fillId="2" borderId="21" xfId="0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center"/>
      <protection hidden="1"/>
    </xf>
    <xf numFmtId="0" fontId="2" fillId="2" borderId="0" xfId="0" applyFont="1" applyFill="1" applyBorder="1" applyAlignment="1" applyProtection="1">
      <alignment horizontal="center"/>
      <protection hidden="1"/>
    </xf>
    <xf numFmtId="169" fontId="2" fillId="2" borderId="0" xfId="0" applyNumberFormat="1" applyFont="1" applyFill="1" applyBorder="1" applyAlignment="1" applyProtection="1">
      <alignment horizontal="center"/>
      <protection hidden="1"/>
    </xf>
    <xf numFmtId="169" fontId="2" fillId="2" borderId="1" xfId="3" applyFont="1" applyFill="1" applyBorder="1" applyProtection="1">
      <protection hidden="1"/>
    </xf>
    <xf numFmtId="170" fontId="2" fillId="2" borderId="0" xfId="0" applyNumberFormat="1" applyFont="1" applyFill="1" applyBorder="1" applyAlignment="1" applyProtection="1">
      <alignment horizontal="right"/>
      <protection hidden="1"/>
    </xf>
    <xf numFmtId="173" fontId="4" fillId="3" borderId="0" xfId="0" applyNumberFormat="1" applyFont="1" applyFill="1" applyProtection="1">
      <protection hidden="1"/>
    </xf>
    <xf numFmtId="14" fontId="1" fillId="2" borderId="0" xfId="0" applyNumberFormat="1" applyFont="1" applyFill="1" applyBorder="1" applyProtection="1">
      <protection hidden="1"/>
    </xf>
    <xf numFmtId="10" fontId="1" fillId="0" borderId="0" xfId="0" applyNumberFormat="1" applyFont="1" applyFill="1" applyBorder="1" applyAlignment="1" applyProtection="1">
      <alignment horizontal="center"/>
      <protection hidden="1"/>
    </xf>
    <xf numFmtId="10" fontId="3" fillId="2" borderId="0" xfId="5" applyNumberFormat="1" applyFont="1" applyFill="1" applyBorder="1" applyAlignment="1" applyProtection="1">
      <alignment horizontal="center"/>
      <protection hidden="1"/>
    </xf>
    <xf numFmtId="170" fontId="3" fillId="0" borderId="0" xfId="3" applyNumberFormat="1" applyFont="1" applyFill="1" applyBorder="1" applyAlignment="1" applyProtection="1">
      <alignment horizontal="center"/>
      <protection hidden="1"/>
    </xf>
    <xf numFmtId="170" fontId="1" fillId="0" borderId="0" xfId="0" applyNumberFormat="1" applyFont="1" applyFill="1" applyBorder="1" applyAlignment="1" applyProtection="1">
      <alignment horizontal="right"/>
      <protection hidden="1"/>
    </xf>
    <xf numFmtId="0" fontId="1" fillId="2" borderId="0" xfId="0" applyFont="1" applyFill="1" applyBorder="1" applyProtection="1">
      <protection hidden="1"/>
    </xf>
    <xf numFmtId="0" fontId="6" fillId="6" borderId="0" xfId="0" applyFont="1" applyFill="1" applyBorder="1" applyProtection="1">
      <protection hidden="1"/>
    </xf>
    <xf numFmtId="164" fontId="6" fillId="6" borderId="0" xfId="0" applyNumberFormat="1" applyFont="1" applyFill="1" applyBorder="1" applyAlignment="1" applyProtection="1">
      <alignment horizontal="center"/>
      <protection hidden="1"/>
    </xf>
    <xf numFmtId="10" fontId="6" fillId="4" borderId="0" xfId="0" applyNumberFormat="1" applyFont="1" applyFill="1" applyBorder="1" applyAlignment="1" applyProtection="1">
      <alignment horizontal="center"/>
      <protection hidden="1"/>
    </xf>
    <xf numFmtId="10" fontId="6" fillId="6" borderId="0" xfId="5" applyNumberFormat="1" applyFont="1" applyFill="1" applyBorder="1" applyAlignment="1" applyProtection="1">
      <alignment horizontal="center"/>
      <protection hidden="1"/>
    </xf>
    <xf numFmtId="170" fontId="3" fillId="2" borderId="0" xfId="3" applyNumberFormat="1" applyFont="1" applyFill="1" applyProtection="1">
      <protection hidden="1"/>
    </xf>
    <xf numFmtId="10" fontId="2" fillId="2" borderId="0" xfId="5" applyNumberFormat="1" applyFont="1" applyFill="1" applyProtection="1">
      <protection hidden="1"/>
    </xf>
    <xf numFmtId="170" fontId="2" fillId="2" borderId="0" xfId="3" applyNumberFormat="1" applyFont="1" applyFill="1" applyProtection="1">
      <protection hidden="1"/>
    </xf>
    <xf numFmtId="169" fontId="2" fillId="2" borderId="0" xfId="3" applyFont="1" applyFill="1" applyProtection="1">
      <protection hidden="1"/>
    </xf>
    <xf numFmtId="164" fontId="7" fillId="5" borderId="0" xfId="3" applyNumberFormat="1" applyFont="1" applyFill="1" applyBorder="1" applyAlignment="1" applyProtection="1">
      <alignment horizontal="center"/>
      <protection hidden="1"/>
    </xf>
    <xf numFmtId="169" fontId="7" fillId="3" borderId="0" xfId="3" applyFont="1" applyFill="1" applyBorder="1" applyProtection="1">
      <protection hidden="1"/>
    </xf>
    <xf numFmtId="0" fontId="5" fillId="3" borderId="0" xfId="0" applyFont="1" applyFill="1" applyBorder="1" applyAlignment="1" applyProtection="1">
      <alignment horizontal="center"/>
      <protection hidden="1"/>
    </xf>
    <xf numFmtId="0" fontId="8" fillId="4" borderId="7" xfId="0" applyFont="1" applyFill="1" applyBorder="1" applyProtection="1">
      <protection hidden="1"/>
    </xf>
    <xf numFmtId="172" fontId="8" fillId="4" borderId="7" xfId="5" applyNumberFormat="1" applyFont="1" applyFill="1" applyBorder="1" applyProtection="1">
      <protection hidden="1"/>
    </xf>
    <xf numFmtId="0" fontId="8" fillId="4" borderId="0" xfId="0" applyFont="1" applyFill="1" applyBorder="1" applyAlignment="1" applyProtection="1">
      <alignment wrapText="1"/>
      <protection hidden="1"/>
    </xf>
    <xf numFmtId="0" fontId="10" fillId="2" borderId="0" xfId="0" applyFont="1" applyFill="1" applyProtection="1">
      <protection hidden="1"/>
    </xf>
    <xf numFmtId="14" fontId="10" fillId="4" borderId="0" xfId="0" applyNumberFormat="1" applyFont="1" applyFill="1" applyBorder="1" applyProtection="1">
      <protection hidden="1"/>
    </xf>
    <xf numFmtId="0" fontId="13" fillId="3" borderId="0" xfId="0" applyFont="1" applyFill="1" applyBorder="1" applyAlignment="1" applyProtection="1">
      <protection hidden="1"/>
    </xf>
    <xf numFmtId="0" fontId="9" fillId="4" borderId="0" xfId="0" applyFont="1" applyFill="1" applyBorder="1" applyAlignment="1" applyProtection="1">
      <alignment vertical="center"/>
      <protection hidden="1"/>
    </xf>
    <xf numFmtId="10" fontId="9" fillId="7" borderId="27" xfId="5" applyNumberFormat="1" applyFont="1" applyFill="1" applyBorder="1" applyAlignment="1" applyProtection="1">
      <alignment horizontal="center"/>
      <protection hidden="1"/>
    </xf>
    <xf numFmtId="164" fontId="9" fillId="6" borderId="0" xfId="3" applyNumberFormat="1" applyFont="1" applyFill="1" applyBorder="1" applyAlignment="1" applyProtection="1">
      <alignment horizontal="center"/>
      <protection hidden="1"/>
    </xf>
    <xf numFmtId="164" fontId="11" fillId="6" borderId="0" xfId="0" applyNumberFormat="1" applyFont="1" applyFill="1" applyBorder="1" applyAlignment="1" applyProtection="1">
      <alignment horizontal="center"/>
      <protection hidden="1"/>
    </xf>
    <xf numFmtId="172" fontId="6" fillId="6" borderId="0" xfId="0" applyNumberFormat="1" applyFont="1" applyFill="1" applyBorder="1" applyAlignment="1" applyProtection="1">
      <alignment horizontal="center"/>
      <protection hidden="1"/>
    </xf>
    <xf numFmtId="170" fontId="6" fillId="2" borderId="22" xfId="3" applyNumberFormat="1" applyFont="1" applyFill="1" applyBorder="1" applyProtection="1">
      <protection hidden="1"/>
    </xf>
    <xf numFmtId="170" fontId="6" fillId="3" borderId="0" xfId="3" applyNumberFormat="1" applyFont="1" applyFill="1" applyProtection="1">
      <protection hidden="1"/>
    </xf>
    <xf numFmtId="0" fontId="8" fillId="3" borderId="0" xfId="0" applyFont="1" applyFill="1" applyAlignment="1" applyProtection="1">
      <alignment horizontal="center"/>
      <protection hidden="1"/>
    </xf>
    <xf numFmtId="0" fontId="2" fillId="4" borderId="0" xfId="0" applyFont="1" applyFill="1" applyProtection="1">
      <protection hidden="1"/>
    </xf>
    <xf numFmtId="0" fontId="2" fillId="4" borderId="0" xfId="0" applyFont="1" applyFill="1" applyBorder="1" applyProtection="1">
      <protection hidden="1"/>
    </xf>
    <xf numFmtId="0" fontId="2" fillId="4" borderId="0" xfId="0" applyFont="1" applyFill="1" applyBorder="1" applyAlignment="1" applyProtection="1">
      <alignment horizontal="center"/>
      <protection hidden="1"/>
    </xf>
    <xf numFmtId="0" fontId="4" fillId="4" borderId="0" xfId="0" applyFont="1" applyFill="1" applyProtection="1">
      <protection hidden="1"/>
    </xf>
    <xf numFmtId="10" fontId="6" fillId="6" borderId="22" xfId="0" applyNumberFormat="1" applyFont="1" applyFill="1" applyBorder="1" applyProtection="1">
      <protection hidden="1"/>
    </xf>
    <xf numFmtId="0" fontId="2" fillId="2" borderId="28" xfId="0" applyFont="1" applyFill="1" applyBorder="1" applyProtection="1">
      <protection hidden="1"/>
    </xf>
    <xf numFmtId="0" fontId="9" fillId="7" borderId="29" xfId="0" applyFont="1" applyFill="1" applyBorder="1" applyAlignment="1" applyProtection="1">
      <alignment horizontal="center" vertical="center" wrapText="1"/>
      <protection hidden="1"/>
    </xf>
    <xf numFmtId="0" fontId="9" fillId="7" borderId="27" xfId="0" applyFont="1" applyFill="1" applyBorder="1" applyAlignment="1" applyProtection="1">
      <alignment horizontal="center" vertical="center" wrapText="1"/>
      <protection hidden="1"/>
    </xf>
    <xf numFmtId="164" fontId="6" fillId="6" borderId="22" xfId="0" applyNumberFormat="1" applyFont="1" applyFill="1" applyBorder="1" applyAlignment="1" applyProtection="1">
      <alignment horizontal="center"/>
      <protection hidden="1"/>
    </xf>
    <xf numFmtId="164" fontId="6" fillId="6" borderId="22" xfId="3" applyNumberFormat="1" applyFont="1" applyFill="1" applyBorder="1" applyAlignment="1" applyProtection="1">
      <alignment horizontal="center"/>
      <protection hidden="1"/>
    </xf>
    <xf numFmtId="0" fontId="14" fillId="2" borderId="0" xfId="0" applyFont="1" applyFill="1" applyBorder="1" applyAlignment="1" applyProtection="1">
      <protection hidden="1"/>
    </xf>
    <xf numFmtId="0" fontId="15" fillId="4" borderId="0" xfId="0" applyFont="1" applyFill="1" applyBorder="1" applyAlignment="1" applyProtection="1">
      <alignment vertical="center"/>
      <protection hidden="1"/>
    </xf>
    <xf numFmtId="0" fontId="7" fillId="3" borderId="0" xfId="0" applyFont="1" applyFill="1" applyAlignment="1" applyProtection="1">
      <alignment horizontal="center"/>
      <protection hidden="1"/>
    </xf>
    <xf numFmtId="0" fontId="6" fillId="3" borderId="0" xfId="0" applyFont="1" applyFill="1" applyBorder="1" applyAlignment="1" applyProtection="1">
      <alignment horizontal="center"/>
      <protection hidden="1"/>
    </xf>
    <xf numFmtId="0" fontId="8" fillId="6" borderId="11" xfId="0" applyFont="1" applyFill="1" applyBorder="1" applyProtection="1">
      <protection hidden="1"/>
    </xf>
    <xf numFmtId="0" fontId="8" fillId="4" borderId="12" xfId="0" applyFont="1" applyFill="1" applyBorder="1" applyProtection="1">
      <protection hidden="1"/>
    </xf>
    <xf numFmtId="0" fontId="6" fillId="4" borderId="13" xfId="0" applyFont="1" applyFill="1" applyBorder="1" applyProtection="1">
      <protection hidden="1"/>
    </xf>
    <xf numFmtId="169" fontId="6" fillId="2" borderId="0" xfId="3" applyFont="1" applyFill="1" applyProtection="1">
      <protection hidden="1"/>
    </xf>
    <xf numFmtId="169" fontId="8" fillId="2" borderId="0" xfId="3" applyFont="1" applyFill="1" applyBorder="1" applyProtection="1">
      <protection hidden="1"/>
    </xf>
    <xf numFmtId="0" fontId="6" fillId="3" borderId="8" xfId="0" applyFont="1" applyFill="1" applyBorder="1" applyAlignment="1" applyProtection="1">
      <alignment horizontal="center"/>
      <protection hidden="1"/>
    </xf>
    <xf numFmtId="14" fontId="6" fillId="3" borderId="11" xfId="0" applyNumberFormat="1" applyFont="1" applyFill="1" applyBorder="1" applyProtection="1">
      <protection hidden="1"/>
    </xf>
    <xf numFmtId="0" fontId="6" fillId="3" borderId="13" xfId="0" applyNumberFormat="1" applyFont="1" applyFill="1" applyBorder="1" applyAlignment="1" applyProtection="1">
      <alignment horizontal="center"/>
      <protection hidden="1"/>
    </xf>
    <xf numFmtId="169" fontId="6" fillId="3" borderId="0" xfId="3" applyFont="1" applyFill="1" applyBorder="1" applyProtection="1">
      <protection hidden="1"/>
    </xf>
    <xf numFmtId="164" fontId="6" fillId="3" borderId="0" xfId="0" applyNumberFormat="1" applyFont="1" applyFill="1" applyProtection="1">
      <protection hidden="1"/>
    </xf>
    <xf numFmtId="9" fontId="6" fillId="5" borderId="0" xfId="5" applyFont="1" applyFill="1" applyBorder="1" applyAlignment="1" applyProtection="1">
      <alignment horizontal="center"/>
      <protection hidden="1"/>
    </xf>
    <xf numFmtId="166" fontId="6" fillId="5" borderId="0" xfId="3" applyNumberFormat="1" applyFont="1" applyFill="1" applyBorder="1" applyAlignment="1" applyProtection="1">
      <alignment horizontal="center"/>
      <protection hidden="1"/>
    </xf>
    <xf numFmtId="166" fontId="6" fillId="3" borderId="0" xfId="0" applyNumberFormat="1" applyFont="1" applyFill="1" applyProtection="1">
      <protection hidden="1"/>
    </xf>
    <xf numFmtId="174" fontId="6" fillId="3" borderId="0" xfId="0" applyNumberFormat="1" applyFont="1" applyFill="1" applyProtection="1">
      <protection hidden="1"/>
    </xf>
    <xf numFmtId="174" fontId="4" fillId="3" borderId="0" xfId="0" applyNumberFormat="1" applyFont="1" applyFill="1" applyProtection="1">
      <protection hidden="1"/>
    </xf>
    <xf numFmtId="2" fontId="4" fillId="3" borderId="0" xfId="0" applyNumberFormat="1" applyFont="1" applyFill="1" applyProtection="1">
      <protection hidden="1"/>
    </xf>
    <xf numFmtId="169" fontId="6" fillId="5" borderId="0" xfId="3" applyFont="1" applyFill="1" applyBorder="1" applyAlignment="1" applyProtection="1">
      <alignment horizontal="center"/>
      <protection hidden="1"/>
    </xf>
    <xf numFmtId="172" fontId="8" fillId="0" borderId="0" xfId="5" applyNumberFormat="1" applyFont="1" applyFill="1" applyBorder="1" applyAlignment="1" applyProtection="1">
      <alignment horizontal="center"/>
      <protection hidden="1"/>
    </xf>
    <xf numFmtId="172" fontId="6" fillId="10" borderId="0" xfId="0" applyNumberFormat="1" applyFont="1" applyFill="1" applyBorder="1" applyAlignment="1" applyProtection="1">
      <alignment horizontal="center"/>
      <protection locked="0"/>
    </xf>
    <xf numFmtId="14" fontId="1" fillId="0" borderId="0" xfId="0" applyNumberFormat="1" applyFont="1" applyFill="1" applyBorder="1" applyAlignment="1" applyProtection="1">
      <alignment horizontal="right"/>
      <protection hidden="1"/>
    </xf>
    <xf numFmtId="175" fontId="4" fillId="3" borderId="0" xfId="5" applyNumberFormat="1" applyFont="1" applyFill="1" applyProtection="1">
      <protection hidden="1"/>
    </xf>
    <xf numFmtId="14" fontId="6" fillId="3" borderId="0" xfId="0" applyNumberFormat="1" applyFont="1" applyFill="1" applyProtection="1">
      <protection hidden="1"/>
    </xf>
    <xf numFmtId="164" fontId="8" fillId="3" borderId="0" xfId="0" applyNumberFormat="1" applyFont="1" applyFill="1" applyAlignment="1" applyProtection="1">
      <alignment horizontal="center"/>
      <protection hidden="1"/>
    </xf>
    <xf numFmtId="2" fontId="8" fillId="3" borderId="7" xfId="0" applyNumberFormat="1" applyFont="1" applyFill="1" applyBorder="1" applyAlignment="1" applyProtection="1">
      <alignment horizontal="center"/>
      <protection hidden="1"/>
    </xf>
    <xf numFmtId="164" fontId="6" fillId="3" borderId="0" xfId="0" applyNumberFormat="1" applyFont="1" applyFill="1" applyBorder="1" applyProtection="1">
      <protection hidden="1"/>
    </xf>
    <xf numFmtId="170" fontId="9" fillId="7" borderId="25" xfId="3" applyNumberFormat="1" applyFont="1" applyFill="1" applyBorder="1" applyAlignment="1" applyProtection="1">
      <alignment horizontal="center"/>
      <protection hidden="1"/>
    </xf>
    <xf numFmtId="164" fontId="6" fillId="3" borderId="11" xfId="0" applyNumberFormat="1" applyFont="1" applyFill="1" applyBorder="1" applyProtection="1">
      <protection hidden="1"/>
    </xf>
    <xf numFmtId="170" fontId="6" fillId="3" borderId="0" xfId="3" applyNumberFormat="1" applyFont="1" applyFill="1" applyBorder="1" applyProtection="1">
      <protection hidden="1"/>
    </xf>
    <xf numFmtId="0" fontId="6" fillId="3" borderId="0" xfId="0" applyNumberFormat="1" applyFont="1" applyFill="1" applyBorder="1" applyAlignment="1" applyProtection="1">
      <alignment horizontal="center"/>
      <protection hidden="1"/>
    </xf>
    <xf numFmtId="14" fontId="6" fillId="3" borderId="0" xfId="0" applyNumberFormat="1" applyFont="1" applyFill="1" applyBorder="1" applyAlignment="1" applyProtection="1">
      <alignment horizontal="center"/>
      <protection hidden="1"/>
    </xf>
    <xf numFmtId="170" fontId="6" fillId="3" borderId="14" xfId="3" applyNumberFormat="1" applyFont="1" applyFill="1" applyBorder="1" applyProtection="1">
      <protection hidden="1"/>
    </xf>
    <xf numFmtId="164" fontId="6" fillId="3" borderId="15" xfId="0" applyNumberFormat="1" applyFont="1" applyFill="1" applyBorder="1" applyProtection="1">
      <protection hidden="1"/>
    </xf>
    <xf numFmtId="164" fontId="6" fillId="3" borderId="13" xfId="0" applyNumberFormat="1" applyFont="1" applyFill="1" applyBorder="1" applyProtection="1">
      <protection hidden="1"/>
    </xf>
    <xf numFmtId="164" fontId="6" fillId="3" borderId="16" xfId="0" applyNumberFormat="1" applyFont="1" applyFill="1" applyBorder="1" applyProtection="1">
      <protection hidden="1"/>
    </xf>
    <xf numFmtId="164" fontId="6" fillId="3" borderId="6" xfId="0" applyNumberFormat="1" applyFont="1" applyFill="1" applyBorder="1" applyProtection="1">
      <protection hidden="1"/>
    </xf>
    <xf numFmtId="0" fontId="7" fillId="3" borderId="11" xfId="0" applyFont="1" applyFill="1" applyBorder="1" applyProtection="1">
      <protection hidden="1"/>
    </xf>
    <xf numFmtId="170" fontId="6" fillId="3" borderId="10" xfId="3" applyNumberFormat="1" applyFont="1" applyFill="1" applyBorder="1" applyProtection="1">
      <protection hidden="1"/>
    </xf>
    <xf numFmtId="0" fontId="2" fillId="2" borderId="0" xfId="0" applyNumberFormat="1" applyFont="1" applyFill="1" applyProtection="1">
      <protection hidden="1"/>
    </xf>
    <xf numFmtId="0" fontId="16" fillId="6" borderId="22" xfId="1" applyFont="1" applyFill="1" applyBorder="1" applyAlignment="1" applyProtection="1">
      <alignment vertical="center" wrapText="1"/>
      <protection hidden="1"/>
    </xf>
    <xf numFmtId="0" fontId="16" fillId="6" borderId="0" xfId="1" applyFont="1" applyFill="1" applyBorder="1" applyAlignment="1" applyProtection="1">
      <alignment vertical="center" wrapText="1"/>
      <protection hidden="1"/>
    </xf>
    <xf numFmtId="165" fontId="6" fillId="4" borderId="0" xfId="0" applyNumberFormat="1" applyFont="1" applyFill="1" applyProtection="1">
      <protection hidden="1"/>
    </xf>
    <xf numFmtId="170" fontId="6" fillId="4" borderId="0" xfId="3" applyNumberFormat="1" applyFont="1" applyFill="1" applyProtection="1">
      <protection hidden="1"/>
    </xf>
    <xf numFmtId="10" fontId="6" fillId="4" borderId="0" xfId="5" applyNumberFormat="1" applyFont="1" applyFill="1" applyProtection="1">
      <protection hidden="1"/>
    </xf>
    <xf numFmtId="170" fontId="6" fillId="2" borderId="0" xfId="3" applyNumberFormat="1" applyFont="1" applyFill="1" applyProtection="1">
      <protection hidden="1"/>
    </xf>
    <xf numFmtId="170" fontId="10" fillId="5" borderId="0" xfId="3" applyNumberFormat="1" applyFont="1" applyFill="1" applyBorder="1" applyAlignment="1" applyProtection="1">
      <alignment horizontal="center"/>
      <protection hidden="1"/>
    </xf>
    <xf numFmtId="170" fontId="6" fillId="2" borderId="0" xfId="3" applyNumberFormat="1" applyFont="1" applyFill="1" applyBorder="1" applyProtection="1">
      <protection hidden="1"/>
    </xf>
    <xf numFmtId="0" fontId="14" fillId="2" borderId="1" xfId="0" applyFont="1" applyFill="1" applyBorder="1" applyAlignment="1" applyProtection="1">
      <alignment horizontal="center"/>
      <protection hidden="1"/>
    </xf>
    <xf numFmtId="0" fontId="14" fillId="2" borderId="0" xfId="0" applyFont="1" applyFill="1" applyBorder="1" applyAlignment="1" applyProtection="1">
      <alignment horizontal="center"/>
      <protection hidden="1"/>
    </xf>
    <xf numFmtId="0" fontId="17" fillId="3" borderId="0" xfId="0" applyFont="1" applyFill="1" applyAlignment="1" applyProtection="1">
      <alignment horizontal="center"/>
      <protection hidden="1"/>
    </xf>
    <xf numFmtId="0" fontId="5" fillId="3" borderId="0" xfId="0" applyFont="1" applyFill="1" applyAlignment="1" applyProtection="1">
      <alignment horizontal="center"/>
      <protection hidden="1"/>
    </xf>
    <xf numFmtId="170" fontId="7" fillId="3" borderId="0" xfId="3" applyNumberFormat="1" applyFont="1" applyFill="1" applyBorder="1" applyProtection="1">
      <protection hidden="1"/>
    </xf>
    <xf numFmtId="170" fontId="7" fillId="3" borderId="0" xfId="3" applyNumberFormat="1" applyFont="1" applyFill="1" applyProtection="1">
      <protection hidden="1"/>
    </xf>
    <xf numFmtId="169" fontId="7" fillId="3" borderId="0" xfId="3" applyNumberFormat="1" applyFont="1" applyFill="1" applyBorder="1" applyProtection="1">
      <protection hidden="1"/>
    </xf>
    <xf numFmtId="176" fontId="7" fillId="3" borderId="0" xfId="3" applyNumberFormat="1" applyFont="1" applyFill="1" applyProtection="1">
      <protection hidden="1"/>
    </xf>
    <xf numFmtId="170" fontId="6" fillId="3" borderId="9" xfId="3" applyNumberFormat="1" applyFont="1" applyFill="1" applyBorder="1" applyProtection="1">
      <protection hidden="1"/>
    </xf>
    <xf numFmtId="170" fontId="18" fillId="3" borderId="0" xfId="3" applyNumberFormat="1" applyFont="1" applyFill="1" applyProtection="1">
      <protection hidden="1"/>
    </xf>
    <xf numFmtId="177" fontId="6" fillId="2" borderId="0" xfId="5" applyNumberFormat="1" applyFont="1" applyFill="1" applyProtection="1">
      <protection hidden="1"/>
    </xf>
    <xf numFmtId="0" fontId="14" fillId="2" borderId="0" xfId="0" applyFont="1" applyFill="1" applyAlignment="1" applyProtection="1">
      <alignment horizontal="center"/>
      <protection hidden="1"/>
    </xf>
    <xf numFmtId="0" fontId="8" fillId="4" borderId="0" xfId="0" applyFont="1" applyFill="1" applyProtection="1">
      <protection hidden="1"/>
    </xf>
    <xf numFmtId="0" fontId="13" fillId="3" borderId="0" xfId="0" applyFont="1" applyFill="1" applyAlignment="1" applyProtection="1">
      <alignment horizontal="center"/>
      <protection hidden="1"/>
    </xf>
    <xf numFmtId="0" fontId="8" fillId="4" borderId="0" xfId="0" applyFont="1" applyFill="1" applyAlignment="1" applyProtection="1">
      <alignment wrapText="1"/>
      <protection hidden="1"/>
    </xf>
    <xf numFmtId="0" fontId="6" fillId="3" borderId="0" xfId="0" applyFont="1" applyFill="1" applyAlignment="1" applyProtection="1">
      <alignment horizontal="center"/>
      <protection hidden="1"/>
    </xf>
    <xf numFmtId="10" fontId="8" fillId="4" borderId="0" xfId="0" applyNumberFormat="1" applyFont="1" applyFill="1" applyAlignment="1" applyProtection="1">
      <alignment horizontal="center"/>
      <protection hidden="1"/>
    </xf>
    <xf numFmtId="0" fontId="8" fillId="6" borderId="0" xfId="0" applyFont="1" applyFill="1" applyProtection="1">
      <protection hidden="1"/>
    </xf>
    <xf numFmtId="10" fontId="6" fillId="2" borderId="0" xfId="0" applyNumberFormat="1" applyFont="1" applyFill="1" applyProtection="1">
      <protection hidden="1"/>
    </xf>
    <xf numFmtId="0" fontId="13" fillId="3" borderId="0" xfId="0" applyFont="1" applyFill="1" applyProtection="1">
      <protection hidden="1"/>
    </xf>
    <xf numFmtId="0" fontId="9" fillId="5" borderId="0" xfId="0" applyFont="1" applyFill="1" applyProtection="1">
      <protection hidden="1"/>
    </xf>
    <xf numFmtId="10" fontId="10" fillId="2" borderId="0" xfId="0" applyNumberFormat="1" applyFont="1" applyFill="1" applyProtection="1">
      <protection hidden="1"/>
    </xf>
    <xf numFmtId="0" fontId="8" fillId="2" borderId="0" xfId="0" applyFont="1" applyFill="1" applyAlignment="1" applyProtection="1">
      <alignment horizontal="center"/>
      <protection hidden="1"/>
    </xf>
    <xf numFmtId="0" fontId="8" fillId="3" borderId="0" xfId="0" applyFont="1" applyFill="1" applyAlignment="1" applyProtection="1">
      <alignment horizontal="center" vertical="center" wrapText="1"/>
      <protection hidden="1"/>
    </xf>
    <xf numFmtId="0" fontId="9" fillId="7" borderId="0" xfId="0" applyFont="1" applyFill="1" applyAlignment="1" applyProtection="1">
      <alignment horizontal="center" vertical="center" wrapText="1"/>
      <protection hidden="1"/>
    </xf>
    <xf numFmtId="169" fontId="6" fillId="2" borderId="0" xfId="0" applyNumberFormat="1" applyFont="1" applyFill="1" applyAlignment="1" applyProtection="1">
      <alignment horizontal="center"/>
      <protection hidden="1"/>
    </xf>
    <xf numFmtId="14" fontId="6" fillId="5" borderId="0" xfId="0" applyNumberFormat="1" applyFont="1" applyFill="1" applyAlignment="1" applyProtection="1">
      <alignment horizontal="center"/>
      <protection hidden="1"/>
    </xf>
    <xf numFmtId="14" fontId="12" fillId="0" borderId="0" xfId="0" applyNumberFormat="1" applyFont="1" applyAlignment="1" applyProtection="1">
      <alignment horizontal="center"/>
      <protection hidden="1"/>
    </xf>
    <xf numFmtId="170" fontId="6" fillId="2" borderId="0" xfId="0" applyNumberFormat="1" applyFont="1" applyFill="1" applyAlignment="1" applyProtection="1">
      <alignment horizontal="right"/>
      <protection hidden="1"/>
    </xf>
    <xf numFmtId="0" fontId="6" fillId="5" borderId="0" xfId="0" applyFont="1" applyFill="1" applyAlignment="1" applyProtection="1">
      <alignment horizontal="center"/>
      <protection hidden="1"/>
    </xf>
    <xf numFmtId="170" fontId="6" fillId="4" borderId="0" xfId="0" applyNumberFormat="1" applyFont="1" applyFill="1" applyAlignment="1" applyProtection="1">
      <alignment horizontal="right"/>
      <protection hidden="1"/>
    </xf>
    <xf numFmtId="14" fontId="10" fillId="4" borderId="0" xfId="0" applyNumberFormat="1" applyFont="1" applyFill="1" applyProtection="1">
      <protection hidden="1"/>
    </xf>
    <xf numFmtId="14" fontId="11" fillId="4" borderId="0" xfId="0" applyNumberFormat="1" applyFont="1" applyFill="1" applyProtection="1">
      <protection hidden="1"/>
    </xf>
    <xf numFmtId="172" fontId="6" fillId="6" borderId="0" xfId="0" applyNumberFormat="1" applyFont="1" applyFill="1" applyAlignment="1" applyProtection="1">
      <alignment horizontal="center"/>
      <protection hidden="1"/>
    </xf>
    <xf numFmtId="164" fontId="11" fillId="6" borderId="0" xfId="0" applyNumberFormat="1" applyFont="1" applyFill="1" applyAlignment="1" applyProtection="1">
      <alignment horizontal="center"/>
      <protection hidden="1"/>
    </xf>
    <xf numFmtId="0" fontId="16" fillId="6" borderId="0" xfId="1" applyFont="1" applyFill="1" applyAlignment="1" applyProtection="1">
      <alignment horizontal="center" vertical="center" wrapText="1"/>
      <protection hidden="1"/>
    </xf>
    <xf numFmtId="0" fontId="15" fillId="4" borderId="0" xfId="0" applyFont="1" applyFill="1" applyAlignment="1" applyProtection="1">
      <alignment vertical="center"/>
      <protection hidden="1"/>
    </xf>
    <xf numFmtId="0" fontId="9" fillId="4" borderId="0" xfId="0" applyFont="1" applyFill="1" applyAlignment="1" applyProtection="1">
      <alignment vertical="center"/>
      <protection hidden="1"/>
    </xf>
    <xf numFmtId="164" fontId="6" fillId="6" borderId="0" xfId="0" applyNumberFormat="1" applyFont="1" applyFill="1" applyAlignment="1" applyProtection="1">
      <alignment horizontal="center"/>
      <protection hidden="1"/>
    </xf>
    <xf numFmtId="14" fontId="6" fillId="3" borderId="0" xfId="0" applyNumberFormat="1" applyFont="1" applyFill="1" applyAlignment="1" applyProtection="1">
      <alignment horizontal="center"/>
      <protection hidden="1"/>
    </xf>
    <xf numFmtId="14" fontId="12" fillId="6" borderId="0" xfId="0" applyNumberFormat="1" applyFont="1" applyFill="1" applyAlignment="1" applyProtection="1">
      <alignment horizontal="center"/>
      <protection hidden="1"/>
    </xf>
    <xf numFmtId="10" fontId="6" fillId="6" borderId="0" xfId="0" applyNumberFormat="1" applyFont="1" applyFill="1" applyProtection="1">
      <protection hidden="1"/>
    </xf>
    <xf numFmtId="0" fontId="6" fillId="6" borderId="0" xfId="0" applyFont="1" applyFill="1" applyProtection="1">
      <protection hidden="1"/>
    </xf>
    <xf numFmtId="10" fontId="6" fillId="6" borderId="0" xfId="0" applyNumberFormat="1" applyFont="1" applyFill="1" applyAlignment="1" applyProtection="1">
      <alignment horizontal="center"/>
      <protection hidden="1"/>
    </xf>
    <xf numFmtId="170" fontId="6" fillId="6" borderId="0" xfId="3" applyNumberFormat="1" applyFont="1" applyFill="1" applyBorder="1" applyAlignment="1" applyProtection="1">
      <alignment horizontal="center"/>
      <protection hidden="1"/>
    </xf>
    <xf numFmtId="170" fontId="6" fillId="5" borderId="0" xfId="3" applyNumberFormat="1" applyFont="1" applyFill="1" applyBorder="1" applyAlignment="1" applyProtection="1">
      <alignment horizontal="center"/>
      <protection hidden="1"/>
    </xf>
    <xf numFmtId="14" fontId="12" fillId="6" borderId="0" xfId="0" applyNumberFormat="1" applyFont="1" applyFill="1" applyBorder="1" applyAlignment="1" applyProtection="1">
      <alignment horizontal="center"/>
      <protection hidden="1"/>
    </xf>
    <xf numFmtId="172" fontId="8" fillId="6" borderId="0" xfId="5" applyNumberFormat="1" applyFont="1" applyFill="1" applyBorder="1" applyAlignment="1" applyProtection="1">
      <alignment horizontal="center"/>
      <protection hidden="1"/>
    </xf>
    <xf numFmtId="170" fontId="7" fillId="11" borderId="0" xfId="3" applyNumberFormat="1" applyFont="1" applyFill="1" applyProtection="1">
      <protection hidden="1"/>
    </xf>
    <xf numFmtId="164" fontId="6" fillId="3" borderId="13" xfId="0" applyNumberFormat="1" applyFont="1" applyFill="1" applyBorder="1" applyAlignment="1" applyProtection="1">
      <alignment horizontal="center"/>
      <protection hidden="1"/>
    </xf>
    <xf numFmtId="164" fontId="6" fillId="3" borderId="16" xfId="0" applyNumberFormat="1" applyFont="1" applyFill="1" applyBorder="1" applyAlignment="1" applyProtection="1">
      <alignment horizontal="center"/>
      <protection hidden="1"/>
    </xf>
    <xf numFmtId="164" fontId="6" fillId="3" borderId="0" xfId="0" applyNumberFormat="1" applyFont="1" applyFill="1" applyBorder="1" applyAlignment="1" applyProtection="1">
      <alignment horizontal="center"/>
      <protection hidden="1"/>
    </xf>
    <xf numFmtId="10" fontId="1" fillId="0" borderId="0" xfId="5" applyNumberFormat="1" applyFont="1" applyFill="1" applyBorder="1" applyAlignment="1" applyProtection="1">
      <alignment horizontal="right"/>
      <protection hidden="1"/>
    </xf>
    <xf numFmtId="0" fontId="6" fillId="3" borderId="16" xfId="0" applyNumberFormat="1" applyFont="1" applyFill="1" applyBorder="1" applyAlignment="1" applyProtection="1">
      <alignment horizontal="center"/>
      <protection hidden="1"/>
    </xf>
    <xf numFmtId="172" fontId="8" fillId="4" borderId="0" xfId="5" applyNumberFormat="1" applyFont="1" applyFill="1" applyProtection="1">
      <protection hidden="1"/>
    </xf>
    <xf numFmtId="0" fontId="6" fillId="3" borderId="17" xfId="0" applyNumberFormat="1" applyFont="1" applyFill="1" applyBorder="1" applyAlignment="1" applyProtection="1">
      <alignment horizontal="center"/>
      <protection hidden="1"/>
    </xf>
    <xf numFmtId="0" fontId="6" fillId="3" borderId="18" xfId="0" applyNumberFormat="1" applyFont="1" applyFill="1" applyBorder="1" applyAlignment="1" applyProtection="1">
      <alignment horizontal="center"/>
      <protection hidden="1"/>
    </xf>
    <xf numFmtId="172" fontId="8" fillId="4" borderId="0" xfId="5" applyNumberFormat="1" applyFont="1" applyFill="1" applyBorder="1" applyProtection="1">
      <protection hidden="1"/>
    </xf>
    <xf numFmtId="0" fontId="16" fillId="6" borderId="0" xfId="1" applyFont="1" applyFill="1" applyBorder="1" applyAlignment="1" applyProtection="1">
      <alignment horizontal="center" vertical="center" wrapText="1"/>
      <protection hidden="1"/>
    </xf>
    <xf numFmtId="0" fontId="14" fillId="2" borderId="1" xfId="0" applyFont="1" applyFill="1" applyBorder="1" applyAlignment="1" applyProtection="1">
      <alignment horizontal="center"/>
      <protection hidden="1"/>
    </xf>
    <xf numFmtId="0" fontId="14" fillId="2" borderId="0" xfId="0" applyFont="1" applyFill="1" applyBorder="1" applyAlignment="1" applyProtection="1">
      <alignment horizontal="center"/>
      <protection hidden="1"/>
    </xf>
    <xf numFmtId="0" fontId="17" fillId="3" borderId="0" xfId="0" applyFont="1" applyFill="1" applyAlignment="1" applyProtection="1">
      <alignment horizontal="center"/>
      <protection hidden="1"/>
    </xf>
    <xf numFmtId="0" fontId="13" fillId="3" borderId="0" xfId="0" applyFont="1" applyFill="1" applyBorder="1" applyAlignment="1" applyProtection="1">
      <alignment horizontal="center"/>
      <protection hidden="1"/>
    </xf>
    <xf numFmtId="170" fontId="6" fillId="4" borderId="0" xfId="3" applyNumberFormat="1" applyFont="1" applyFill="1" applyBorder="1" applyProtection="1">
      <protection hidden="1"/>
    </xf>
    <xf numFmtId="170" fontId="8" fillId="4" borderId="0" xfId="3" applyNumberFormat="1" applyFont="1" applyFill="1" applyBorder="1" applyProtection="1">
      <protection hidden="1"/>
    </xf>
    <xf numFmtId="10" fontId="6" fillId="4" borderId="0" xfId="5" applyNumberFormat="1" applyFont="1" applyFill="1" applyAlignment="1" applyProtection="1">
      <alignment horizontal="center"/>
      <protection hidden="1"/>
    </xf>
    <xf numFmtId="172" fontId="6" fillId="6" borderId="0" xfId="0" applyNumberFormat="1" applyFont="1" applyFill="1" applyAlignment="1" applyProtection="1">
      <alignment horizontal="center"/>
      <protection locked="0"/>
    </xf>
    <xf numFmtId="170" fontId="6" fillId="0" borderId="0" xfId="3" applyNumberFormat="1" applyFont="1" applyFill="1" applyBorder="1" applyAlignment="1" applyProtection="1">
      <alignment horizontal="right"/>
      <protection hidden="1"/>
    </xf>
    <xf numFmtId="172" fontId="6" fillId="4" borderId="0" xfId="5" applyNumberFormat="1" applyFont="1" applyFill="1" applyAlignment="1" applyProtection="1">
      <alignment horizontal="center"/>
      <protection hidden="1"/>
    </xf>
    <xf numFmtId="172" fontId="6" fillId="6" borderId="0" xfId="0" applyNumberFormat="1" applyFont="1" applyFill="1" applyBorder="1" applyAlignment="1" applyProtection="1">
      <alignment horizontal="center"/>
      <protection locked="0"/>
    </xf>
    <xf numFmtId="172" fontId="6" fillId="0" borderId="0" xfId="0" applyNumberFormat="1" applyFont="1" applyFill="1" applyBorder="1" applyAlignment="1" applyProtection="1">
      <alignment horizontal="center"/>
      <protection locked="0"/>
    </xf>
    <xf numFmtId="165" fontId="6" fillId="2" borderId="0" xfId="0" applyNumberFormat="1" applyFont="1" applyFill="1" applyProtection="1">
      <protection hidden="1"/>
    </xf>
    <xf numFmtId="9" fontId="6" fillId="2" borderId="0" xfId="5" applyFont="1" applyFill="1" applyProtection="1">
      <protection hidden="1"/>
    </xf>
    <xf numFmtId="169" fontId="19" fillId="4" borderId="0" xfId="3" applyFont="1" applyFill="1" applyBorder="1" applyProtection="1">
      <protection hidden="1"/>
    </xf>
    <xf numFmtId="169" fontId="16" fillId="6" borderId="0" xfId="3" applyFont="1" applyFill="1" applyBorder="1" applyAlignment="1" applyProtection="1">
      <alignment horizontal="center" vertical="center" wrapText="1"/>
      <protection hidden="1"/>
    </xf>
    <xf numFmtId="0" fontId="6" fillId="3" borderId="11" xfId="0" applyFont="1" applyFill="1" applyBorder="1" applyAlignment="1" applyProtection="1">
      <alignment horizontal="center"/>
      <protection hidden="1"/>
    </xf>
    <xf numFmtId="169" fontId="6" fillId="3" borderId="13" xfId="3" applyFont="1" applyFill="1" applyBorder="1" applyAlignment="1" applyProtection="1">
      <alignment horizontal="center"/>
      <protection hidden="1"/>
    </xf>
    <xf numFmtId="169" fontId="6" fillId="3" borderId="16" xfId="3" applyFont="1" applyFill="1" applyBorder="1" applyAlignment="1" applyProtection="1">
      <alignment horizontal="center"/>
      <protection hidden="1"/>
    </xf>
    <xf numFmtId="0" fontId="16" fillId="6" borderId="23" xfId="1" applyFont="1" applyFill="1" applyBorder="1" applyAlignment="1" applyProtection="1">
      <alignment horizontal="center" vertical="center" wrapText="1"/>
      <protection hidden="1"/>
    </xf>
    <xf numFmtId="0" fontId="16" fillId="6" borderId="22" xfId="1" applyFont="1" applyFill="1" applyBorder="1" applyAlignment="1" applyProtection="1">
      <alignment horizontal="center" vertical="center" wrapText="1"/>
      <protection hidden="1"/>
    </xf>
    <xf numFmtId="0" fontId="16" fillId="6" borderId="30" xfId="1" applyFont="1" applyFill="1" applyBorder="1" applyAlignment="1" applyProtection="1">
      <alignment horizontal="center" vertical="center" wrapText="1"/>
      <protection hidden="1"/>
    </xf>
    <xf numFmtId="0" fontId="16" fillId="6" borderId="31" xfId="1" applyFont="1" applyFill="1" applyBorder="1" applyAlignment="1" applyProtection="1">
      <alignment horizontal="center" vertical="center" wrapText="1"/>
      <protection hidden="1"/>
    </xf>
    <xf numFmtId="0" fontId="16" fillId="6" borderId="0" xfId="1" applyFont="1" applyFill="1" applyBorder="1" applyAlignment="1" applyProtection="1">
      <alignment horizontal="center" vertical="center" wrapText="1"/>
      <protection hidden="1"/>
    </xf>
    <xf numFmtId="0" fontId="16" fillId="6" borderId="28" xfId="1" applyFont="1" applyFill="1" applyBorder="1" applyAlignment="1" applyProtection="1">
      <alignment horizontal="center" vertical="center" wrapText="1"/>
      <protection hidden="1"/>
    </xf>
    <xf numFmtId="0" fontId="9" fillId="7" borderId="27" xfId="0" applyFont="1" applyFill="1" applyBorder="1" applyAlignment="1" applyProtection="1">
      <alignment horizontal="center" vertical="center"/>
      <protection hidden="1"/>
    </xf>
    <xf numFmtId="0" fontId="15" fillId="4" borderId="32" xfId="0" applyFont="1" applyFill="1" applyBorder="1" applyAlignment="1" applyProtection="1">
      <alignment horizontal="center" vertical="center"/>
      <protection hidden="1"/>
    </xf>
    <xf numFmtId="0" fontId="14" fillId="2" borderId="1" xfId="0" applyFont="1" applyFill="1" applyBorder="1" applyAlignment="1" applyProtection="1">
      <alignment horizontal="center"/>
      <protection hidden="1"/>
    </xf>
    <xf numFmtId="0" fontId="14" fillId="2" borderId="0" xfId="0" applyFont="1" applyFill="1" applyBorder="1" applyAlignment="1" applyProtection="1">
      <alignment horizontal="center"/>
      <protection hidden="1"/>
    </xf>
    <xf numFmtId="0" fontId="17" fillId="3" borderId="0" xfId="0" applyFont="1" applyFill="1" applyAlignment="1" applyProtection="1">
      <alignment horizontal="center"/>
      <protection hidden="1"/>
    </xf>
    <xf numFmtId="0" fontId="9" fillId="7" borderId="29" xfId="0" applyFont="1" applyFill="1" applyBorder="1" applyAlignment="1" applyProtection="1">
      <alignment horizontal="center" vertical="center"/>
      <protection hidden="1"/>
    </xf>
    <xf numFmtId="0" fontId="9" fillId="7" borderId="33" xfId="0" applyFont="1" applyFill="1" applyBorder="1" applyAlignment="1" applyProtection="1">
      <alignment horizontal="center" vertical="center"/>
      <protection hidden="1"/>
    </xf>
    <xf numFmtId="0" fontId="9" fillId="7" borderId="34" xfId="0" applyFont="1" applyFill="1" applyBorder="1" applyAlignment="1" applyProtection="1">
      <alignment horizontal="center" vertical="center"/>
      <protection hidden="1"/>
    </xf>
    <xf numFmtId="0" fontId="8" fillId="3" borderId="7" xfId="0" applyFont="1" applyFill="1" applyBorder="1" applyAlignment="1" applyProtection="1">
      <alignment horizontal="center"/>
      <protection hidden="1"/>
    </xf>
    <xf numFmtId="0" fontId="20" fillId="6" borderId="24" xfId="1" applyFont="1" applyFill="1" applyBorder="1" applyAlignment="1" applyProtection="1">
      <alignment horizontal="center" vertical="center" wrapText="1"/>
      <protection hidden="1"/>
    </xf>
    <xf numFmtId="0" fontId="14" fillId="2" borderId="0" xfId="0" applyFont="1" applyFill="1" applyAlignment="1" applyProtection="1">
      <alignment horizontal="center"/>
      <protection hidden="1"/>
    </xf>
    <xf numFmtId="0" fontId="16" fillId="6" borderId="0" xfId="1" applyFont="1" applyFill="1" applyAlignment="1" applyProtection="1">
      <alignment horizontal="center" vertical="center" wrapText="1"/>
      <protection hidden="1"/>
    </xf>
    <xf numFmtId="0" fontId="8" fillId="3" borderId="19" xfId="0" applyFont="1" applyFill="1" applyBorder="1" applyAlignment="1" applyProtection="1">
      <alignment horizontal="center"/>
      <protection hidden="1"/>
    </xf>
    <xf numFmtId="0" fontId="8" fillId="3" borderId="20" xfId="0" applyFont="1" applyFill="1" applyBorder="1" applyAlignment="1" applyProtection="1">
      <alignment horizontal="center"/>
      <protection hidden="1"/>
    </xf>
    <xf numFmtId="0" fontId="8" fillId="3" borderId="12" xfId="0" applyFont="1" applyFill="1" applyBorder="1" applyAlignment="1" applyProtection="1">
      <alignment horizontal="center"/>
      <protection hidden="1"/>
    </xf>
    <xf numFmtId="0" fontId="5" fillId="3" borderId="0" xfId="0" applyFont="1" applyFill="1" applyAlignment="1" applyProtection="1">
      <alignment horizontal="center"/>
      <protection hidden="1"/>
    </xf>
    <xf numFmtId="0" fontId="13" fillId="3" borderId="0" xfId="0" applyFont="1" applyFill="1" applyBorder="1" applyAlignment="1" applyProtection="1">
      <alignment horizontal="center"/>
      <protection hidden="1"/>
    </xf>
    <xf numFmtId="0" fontId="16" fillId="6" borderId="25" xfId="1" applyFont="1" applyFill="1" applyBorder="1" applyAlignment="1" applyProtection="1">
      <alignment horizontal="center" vertical="center" wrapText="1"/>
      <protection hidden="1"/>
    </xf>
    <xf numFmtId="0" fontId="16" fillId="6" borderId="32" xfId="1" applyFont="1" applyFill="1" applyBorder="1" applyAlignment="1" applyProtection="1">
      <alignment horizontal="center" vertical="center" wrapText="1"/>
      <protection hidden="1"/>
    </xf>
    <xf numFmtId="0" fontId="16" fillId="6" borderId="35" xfId="1" applyFont="1" applyFill="1" applyBorder="1" applyAlignment="1" applyProtection="1">
      <alignment horizontal="center" vertical="center" wrapText="1"/>
      <protection hidden="1"/>
    </xf>
    <xf numFmtId="0" fontId="9" fillId="7" borderId="36" xfId="0" applyFont="1" applyFill="1" applyBorder="1" applyAlignment="1" applyProtection="1">
      <alignment horizontal="center" vertical="center"/>
      <protection hidden="1"/>
    </xf>
    <xf numFmtId="0" fontId="9" fillId="7" borderId="37" xfId="0" applyFont="1" applyFill="1" applyBorder="1" applyAlignment="1" applyProtection="1">
      <alignment horizontal="center" vertical="center"/>
      <protection hidden="1"/>
    </xf>
    <xf numFmtId="0" fontId="9" fillId="7" borderId="38" xfId="0" applyFont="1" applyFill="1" applyBorder="1" applyAlignment="1" applyProtection="1">
      <alignment horizontal="center" vertical="center"/>
      <protection hidden="1"/>
    </xf>
  </cellXfs>
  <cellStyles count="6">
    <cellStyle name="=C:\WINNT\SYSTEM32\COMMAND.COM" xfId="1"/>
    <cellStyle name="Euro" xfId="2"/>
    <cellStyle name="Millares" xfId="3" builtinId="3"/>
    <cellStyle name="Normal" xfId="0" builtinId="0"/>
    <cellStyle name="Normal 2" xfId="4"/>
    <cellStyle name="Porcentaje" xfId="5" builtinId="5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0</xdr:row>
      <xdr:rowOff>123825</xdr:rowOff>
    </xdr:from>
    <xdr:to>
      <xdr:col>4</xdr:col>
      <xdr:colOff>295275</xdr:colOff>
      <xdr:row>4</xdr:row>
      <xdr:rowOff>28575</xdr:rowOff>
    </xdr:to>
    <xdr:pic>
      <xdr:nvPicPr>
        <xdr:cNvPr id="6455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7039" b="30556"/>
        <a:stretch>
          <a:fillRect/>
        </a:stretch>
      </xdr:blipFill>
      <xdr:spPr bwMode="auto">
        <a:xfrm>
          <a:off x="1733550" y="123825"/>
          <a:ext cx="20764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238125</xdr:colOff>
      <xdr:row>0</xdr:row>
      <xdr:rowOff>152400</xdr:rowOff>
    </xdr:from>
    <xdr:to>
      <xdr:col>7</xdr:col>
      <xdr:colOff>647700</xdr:colOff>
      <xdr:row>4</xdr:row>
      <xdr:rowOff>95250</xdr:rowOff>
    </xdr:to>
    <xdr:pic>
      <xdr:nvPicPr>
        <xdr:cNvPr id="6456" name="Picture 5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4525" y="152400"/>
          <a:ext cx="13430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D94"/>
  <sheetViews>
    <sheetView showGridLines="0" tabSelected="1" zoomScaleNormal="100" workbookViewId="0">
      <selection activeCell="G8" sqref="G8"/>
    </sheetView>
  </sheetViews>
  <sheetFormatPr baseColWidth="10" defaultColWidth="0" defaultRowHeight="12.75" zeroHeight="1" x14ac:dyDescent="0.2"/>
  <cols>
    <col min="1" max="1" width="12.85546875" style="2" customWidth="1"/>
    <col min="2" max="2" width="12.42578125" style="2" customWidth="1"/>
    <col min="3" max="3" width="15.140625" style="2" customWidth="1"/>
    <col min="4" max="4" width="12.28515625" style="2" bestFit="1" customWidth="1"/>
    <col min="5" max="5" width="14.85546875" style="2" bestFit="1" customWidth="1"/>
    <col min="6" max="6" width="16.85546875" style="2" customWidth="1"/>
    <col min="7" max="7" width="14" style="2" customWidth="1"/>
    <col min="8" max="8" width="12.85546875" style="2" customWidth="1"/>
    <col min="9" max="9" width="17.42578125" style="2" bestFit="1" customWidth="1"/>
    <col min="10" max="10" width="12.28515625" style="2" customWidth="1"/>
    <col min="11" max="11" width="1.140625" style="2" customWidth="1"/>
    <col min="12" max="12" width="10.42578125" style="3" hidden="1" customWidth="1"/>
    <col min="13" max="13" width="16.42578125" style="3" hidden="1" customWidth="1"/>
    <col min="14" max="14" width="18.42578125" style="3" hidden="1" customWidth="1"/>
    <col min="15" max="15" width="12.7109375" style="3" hidden="1" customWidth="1"/>
    <col min="16" max="16" width="18" style="3" hidden="1" customWidth="1"/>
    <col min="17" max="19" width="16.42578125" style="3" hidden="1" customWidth="1"/>
    <col min="20" max="20" width="14.85546875" style="3" hidden="1" customWidth="1"/>
    <col min="21" max="21" width="18.42578125" style="3" hidden="1" customWidth="1"/>
    <col min="22" max="22" width="17.5703125" style="3" hidden="1" customWidth="1"/>
    <col min="23" max="23" width="12.140625" style="4" hidden="1" customWidth="1"/>
    <col min="24" max="24" width="11.7109375" style="3" hidden="1" customWidth="1"/>
    <col min="25" max="25" width="13.85546875" style="144" hidden="1" customWidth="1"/>
    <col min="26" max="26" width="14.42578125" style="3" hidden="1" customWidth="1"/>
    <col min="27" max="28" width="11.7109375" style="3" hidden="1" customWidth="1"/>
    <col min="29" max="29" width="12.28515625" style="3" hidden="1" customWidth="1"/>
    <col min="30" max="30" width="12.5703125" style="12" hidden="1" customWidth="1"/>
    <col min="31" max="16384" width="11.42578125" style="2" hidden="1"/>
  </cols>
  <sheetData>
    <row r="1" spans="1:30" x14ac:dyDescent="0.2">
      <c r="A1" s="1"/>
      <c r="B1" s="1"/>
      <c r="C1" s="1"/>
      <c r="D1" s="1"/>
      <c r="E1" s="1"/>
      <c r="F1" s="1"/>
      <c r="G1" s="1"/>
      <c r="H1" s="1"/>
      <c r="J1" s="1"/>
      <c r="L1" s="280"/>
      <c r="M1" s="280"/>
      <c r="N1" s="280"/>
      <c r="O1" s="280"/>
    </row>
    <row r="2" spans="1:30" x14ac:dyDescent="0.2">
      <c r="A2" s="1"/>
      <c r="B2" s="1"/>
      <c r="C2" s="1"/>
      <c r="D2" s="1"/>
      <c r="E2" s="1"/>
      <c r="F2" s="1"/>
      <c r="G2" s="1"/>
      <c r="H2" s="1"/>
      <c r="J2" s="1"/>
      <c r="L2" s="253"/>
      <c r="M2" s="253"/>
      <c r="N2" s="253"/>
      <c r="O2" s="253"/>
    </row>
    <row r="3" spans="1:30" x14ac:dyDescent="0.2">
      <c r="A3" s="1"/>
      <c r="B3" s="1"/>
      <c r="C3" s="1"/>
      <c r="D3" s="1"/>
      <c r="E3" s="1"/>
      <c r="F3" s="1"/>
      <c r="G3" s="1"/>
      <c r="H3" s="1"/>
      <c r="J3" s="1"/>
      <c r="L3" s="253"/>
      <c r="M3" s="253"/>
      <c r="N3" s="253"/>
      <c r="O3" s="253"/>
    </row>
    <row r="4" spans="1:30" x14ac:dyDescent="0.2">
      <c r="A4" s="1"/>
      <c r="B4" s="1"/>
      <c r="C4" s="1"/>
      <c r="D4" s="1"/>
      <c r="E4" s="1"/>
      <c r="F4" s="1"/>
      <c r="G4" s="1"/>
      <c r="H4" s="1"/>
      <c r="J4" s="1"/>
      <c r="L4" s="253"/>
      <c r="M4" s="253"/>
      <c r="N4" s="253"/>
      <c r="O4" s="253"/>
    </row>
    <row r="5" spans="1:30" x14ac:dyDescent="0.2">
      <c r="A5" s="1"/>
      <c r="B5" s="1"/>
      <c r="C5" s="1"/>
      <c r="D5" s="1"/>
      <c r="E5" s="1"/>
      <c r="F5" s="1"/>
      <c r="G5" s="1"/>
      <c r="H5" s="1"/>
      <c r="J5" s="1"/>
      <c r="L5" s="253"/>
      <c r="M5" s="253"/>
      <c r="N5" s="253"/>
      <c r="O5" s="253"/>
    </row>
    <row r="6" spans="1:30" ht="23.25" x14ac:dyDescent="0.35">
      <c r="A6" s="278" t="s">
        <v>41</v>
      </c>
      <c r="B6" s="279"/>
      <c r="C6" s="279"/>
      <c r="D6" s="279"/>
      <c r="E6" s="279"/>
      <c r="F6" s="279"/>
      <c r="G6" s="279"/>
      <c r="H6" s="279"/>
      <c r="I6" s="279"/>
      <c r="J6" s="279"/>
      <c r="K6" s="1"/>
      <c r="M6" s="7"/>
    </row>
    <row r="7" spans="1:30" ht="12" customHeight="1" x14ac:dyDescent="0.35">
      <c r="A7" s="251"/>
      <c r="B7" s="252"/>
      <c r="C7" s="252"/>
      <c r="D7" s="252"/>
      <c r="E7" s="252"/>
      <c r="F7" s="252"/>
      <c r="G7" s="252"/>
      <c r="H7" s="252"/>
      <c r="I7" s="252"/>
      <c r="J7" s="252"/>
      <c r="K7" s="1"/>
      <c r="M7" s="7"/>
    </row>
    <row r="8" spans="1:30" ht="13.5" customHeight="1" x14ac:dyDescent="0.35">
      <c r="A8" s="251"/>
      <c r="B8" s="285" t="s">
        <v>31</v>
      </c>
      <c r="C8" s="285"/>
      <c r="D8" s="285"/>
      <c r="E8" s="285"/>
      <c r="F8" s="252"/>
      <c r="G8" s="252"/>
      <c r="H8" s="252"/>
      <c r="I8" s="252"/>
      <c r="J8" s="252"/>
      <c r="K8" s="1"/>
      <c r="M8" s="7"/>
    </row>
    <row r="9" spans="1:30" ht="23.25" customHeight="1" x14ac:dyDescent="0.35">
      <c r="A9" s="251"/>
      <c r="B9" s="270" t="s">
        <v>40</v>
      </c>
      <c r="C9" s="271"/>
      <c r="D9" s="271"/>
      <c r="E9" s="272"/>
      <c r="F9" s="252"/>
      <c r="G9" s="252"/>
      <c r="H9" s="252"/>
      <c r="I9" s="252"/>
      <c r="J9" s="252"/>
      <c r="K9" s="1"/>
      <c r="M9" s="7"/>
    </row>
    <row r="10" spans="1:30" ht="15.75" customHeight="1" x14ac:dyDescent="0.35">
      <c r="A10" s="251"/>
      <c r="B10" s="273"/>
      <c r="C10" s="274"/>
      <c r="D10" s="274"/>
      <c r="E10" s="275"/>
      <c r="F10" s="252"/>
      <c r="G10" s="252"/>
      <c r="H10" s="252"/>
      <c r="I10" s="252"/>
      <c r="J10" s="252"/>
      <c r="K10" s="1"/>
      <c r="M10" s="7"/>
    </row>
    <row r="11" spans="1:30" ht="15" customHeight="1" x14ac:dyDescent="0.35">
      <c r="A11" s="251"/>
      <c r="B11" s="184"/>
      <c r="C11" s="184"/>
      <c r="D11" s="184"/>
      <c r="E11" s="184"/>
      <c r="F11" s="252"/>
      <c r="G11" s="252"/>
      <c r="H11" s="252"/>
      <c r="I11" s="252"/>
      <c r="J11" s="252"/>
      <c r="K11" s="1"/>
      <c r="M11" s="7"/>
    </row>
    <row r="12" spans="1:30" x14ac:dyDescent="0.2">
      <c r="A12" s="8"/>
      <c r="B12" s="1"/>
      <c r="C12" s="22" t="s">
        <v>12</v>
      </c>
      <c r="D12" s="80">
        <v>255000000</v>
      </c>
      <c r="E12" s="9"/>
      <c r="F12" s="22" t="s">
        <v>13</v>
      </c>
      <c r="G12" s="81">
        <v>1.07</v>
      </c>
      <c r="I12" s="1"/>
      <c r="J12" s="1"/>
      <c r="K12" s="1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254"/>
      <c r="Y12" s="12"/>
      <c r="Z12" s="12"/>
      <c r="AA12" s="12"/>
      <c r="AB12" s="12"/>
      <c r="AC12" s="12"/>
      <c r="AD12" s="2"/>
    </row>
    <row r="13" spans="1:30" x14ac:dyDescent="0.2">
      <c r="A13" s="8"/>
      <c r="B13" s="1"/>
      <c r="C13" s="120"/>
      <c r="D13" s="163"/>
      <c r="E13" s="9"/>
      <c r="F13" s="118" t="s">
        <v>7</v>
      </c>
      <c r="G13" s="119">
        <f>+U45/P14</f>
        <v>1.1297151471687059</v>
      </c>
      <c r="H13" s="202"/>
      <c r="I13" s="149"/>
      <c r="J13" s="1"/>
      <c r="K13" s="1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45"/>
      <c r="Y13" s="12"/>
      <c r="Z13" s="12"/>
      <c r="AA13" s="12"/>
      <c r="AB13" s="12"/>
      <c r="AC13" s="12"/>
      <c r="AD13" s="2"/>
    </row>
    <row r="14" spans="1:30" x14ac:dyDescent="0.2">
      <c r="A14" s="8"/>
      <c r="B14" s="1"/>
      <c r="C14" s="22" t="s">
        <v>33</v>
      </c>
      <c r="D14" s="23">
        <v>0.01</v>
      </c>
      <c r="E14" s="9"/>
      <c r="F14" s="82" t="s">
        <v>10</v>
      </c>
      <c r="G14" s="83">
        <f>+U39</f>
        <v>3.2173649117470502</v>
      </c>
      <c r="H14" s="189"/>
      <c r="I14" s="150"/>
      <c r="J14" s="11"/>
      <c r="L14" s="10"/>
      <c r="M14" s="12"/>
      <c r="N14" s="12"/>
      <c r="O14" s="13" t="s">
        <v>12</v>
      </c>
      <c r="P14" s="14">
        <v>255000000</v>
      </c>
      <c r="Q14" s="15"/>
      <c r="R14" s="15"/>
      <c r="S14" s="15"/>
      <c r="T14" s="15"/>
      <c r="U14" s="15"/>
      <c r="V14" s="16"/>
      <c r="W14" s="10"/>
      <c r="X14" s="145"/>
      <c r="Y14" s="45"/>
      <c r="Z14" s="12"/>
      <c r="AA14" s="12"/>
      <c r="AB14" s="12"/>
      <c r="AC14" s="12"/>
      <c r="AD14" s="2"/>
    </row>
    <row r="15" spans="1:30" x14ac:dyDescent="0.2">
      <c r="A15" s="8"/>
      <c r="B15" s="1"/>
      <c r="C15" s="22" t="s">
        <v>16</v>
      </c>
      <c r="D15" s="23">
        <v>0.7</v>
      </c>
      <c r="E15" s="9"/>
      <c r="F15" s="22" t="s">
        <v>11</v>
      </c>
      <c r="G15" s="249">
        <f>+XIRR(H23:H36,B23:B36)</f>
        <v>1.0966476559638976</v>
      </c>
      <c r="H15" s="25"/>
      <c r="I15" s="17"/>
      <c r="J15" s="1"/>
      <c r="K15" s="1"/>
      <c r="L15" s="10"/>
      <c r="M15" s="12"/>
      <c r="N15" s="12"/>
      <c r="O15" s="18" t="s">
        <v>13</v>
      </c>
      <c r="P15" s="19">
        <f>+G12</f>
        <v>1.07</v>
      </c>
      <c r="Q15" s="20"/>
      <c r="R15" s="20"/>
      <c r="S15" s="20"/>
      <c r="T15" s="20"/>
      <c r="U15" s="20"/>
      <c r="V15" s="20"/>
      <c r="W15" s="10"/>
      <c r="X15" s="145"/>
      <c r="Y15" s="45"/>
      <c r="Z15" s="12"/>
      <c r="AA15" s="12"/>
      <c r="AB15" s="12"/>
      <c r="AC15" s="12"/>
      <c r="AD15" s="2"/>
    </row>
    <row r="16" spans="1:30" x14ac:dyDescent="0.2">
      <c r="A16" s="8"/>
      <c r="B16" s="1"/>
      <c r="C16" s="22" t="s">
        <v>17</v>
      </c>
      <c r="D16" s="23">
        <v>0.8</v>
      </c>
      <c r="E16" s="9"/>
      <c r="F16" s="22" t="s">
        <v>14</v>
      </c>
      <c r="G16" s="249">
        <f>+((1+G15)^(1/12)-1)*12</f>
        <v>0.76365432509674758</v>
      </c>
      <c r="H16" s="25"/>
      <c r="I16" s="17"/>
      <c r="J16" s="1"/>
      <c r="K16" s="1"/>
      <c r="L16" s="10"/>
      <c r="M16" s="12"/>
      <c r="N16" s="12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"/>
      <c r="AB16" s="12"/>
      <c r="AC16" s="12"/>
      <c r="AD16" s="2"/>
    </row>
    <row r="17" spans="1:30" x14ac:dyDescent="0.2">
      <c r="A17" s="8"/>
      <c r="B17" s="1"/>
      <c r="E17" s="9"/>
      <c r="F17" s="22" t="s">
        <v>15</v>
      </c>
      <c r="G17" s="25">
        <f>+(G16-D38)</f>
        <v>6.5554325096747523E-2</v>
      </c>
      <c r="H17" s="121" t="s">
        <v>34</v>
      </c>
      <c r="I17" s="17"/>
      <c r="J17" s="1"/>
      <c r="K17" s="1"/>
      <c r="L17" s="10"/>
      <c r="M17" s="12"/>
      <c r="N17" s="12"/>
      <c r="O17" s="21"/>
      <c r="P17" s="20"/>
      <c r="Q17" s="20"/>
      <c r="R17" s="20"/>
      <c r="S17" s="20"/>
      <c r="T17" s="20"/>
      <c r="U17" s="20"/>
      <c r="V17" s="20"/>
      <c r="W17" s="10"/>
      <c r="X17" s="145"/>
      <c r="Y17" s="45"/>
      <c r="Z17" s="12"/>
      <c r="AA17" s="12"/>
      <c r="AB17" s="12"/>
      <c r="AC17" s="12"/>
      <c r="AD17" s="2"/>
    </row>
    <row r="18" spans="1:30" x14ac:dyDescent="0.2">
      <c r="A18" s="8"/>
      <c r="B18" s="1"/>
      <c r="C18" s="22"/>
      <c r="D18" s="23"/>
      <c r="E18" s="9"/>
      <c r="F18" s="22" t="s">
        <v>14</v>
      </c>
      <c r="G18" s="25">
        <f>+((1+G12)^(1/12)-1)*12</f>
        <v>0.75005646719760311</v>
      </c>
      <c r="H18" s="24" t="s">
        <v>19</v>
      </c>
      <c r="J18" s="1"/>
      <c r="K18" s="1"/>
      <c r="L18" s="10"/>
      <c r="M18" s="12"/>
      <c r="N18" s="12"/>
      <c r="O18" s="21"/>
      <c r="P18" s="20"/>
      <c r="Q18" s="20"/>
      <c r="R18" s="20"/>
      <c r="S18" s="20"/>
      <c r="T18" s="20"/>
      <c r="U18" s="20"/>
      <c r="V18" s="20"/>
      <c r="W18" s="12"/>
      <c r="X18" s="12"/>
      <c r="Y18" s="12"/>
      <c r="Z18" s="12"/>
      <c r="AA18" s="12"/>
      <c r="AB18" s="12"/>
      <c r="AC18" s="12"/>
      <c r="AD18" s="2"/>
    </row>
    <row r="19" spans="1:30" x14ac:dyDescent="0.2">
      <c r="A19" s="8"/>
      <c r="B19" s="1"/>
      <c r="C19" s="1"/>
      <c r="D19" s="22"/>
      <c r="E19" s="23"/>
      <c r="F19" s="9"/>
      <c r="G19" s="22"/>
      <c r="H19" s="25"/>
      <c r="I19" s="24"/>
      <c r="J19" s="1"/>
      <c r="K19" s="1"/>
      <c r="V19" s="26"/>
      <c r="W19" s="12"/>
      <c r="X19" s="12"/>
      <c r="Y19" s="12"/>
      <c r="Z19" s="12"/>
      <c r="AA19" s="12"/>
      <c r="AB19" s="12"/>
      <c r="AC19" s="12"/>
      <c r="AD19" s="2"/>
    </row>
    <row r="20" spans="1:30" ht="15" x14ac:dyDescent="0.2">
      <c r="A20" s="8"/>
      <c r="B20" s="277" t="s">
        <v>37</v>
      </c>
      <c r="C20" s="277"/>
      <c r="D20" s="277"/>
      <c r="E20" s="277"/>
      <c r="F20" s="277"/>
      <c r="G20" s="277"/>
      <c r="H20" s="277"/>
      <c r="I20" s="277"/>
      <c r="J20" s="1"/>
      <c r="K20" s="1"/>
      <c r="V20" s="26"/>
      <c r="W20" s="12"/>
      <c r="X20" s="12"/>
      <c r="Y20" s="12"/>
      <c r="Z20" s="12"/>
      <c r="AA20" s="12"/>
      <c r="AB20" s="12"/>
      <c r="AC20" s="12"/>
      <c r="AD20" s="2"/>
    </row>
    <row r="21" spans="1:30" x14ac:dyDescent="0.2">
      <c r="A21" s="8"/>
      <c r="B21" s="281" t="s">
        <v>26</v>
      </c>
      <c r="C21" s="282"/>
      <c r="D21" s="282"/>
      <c r="E21" s="282"/>
      <c r="F21" s="282"/>
      <c r="G21" s="282"/>
      <c r="H21" s="282"/>
      <c r="I21" s="283"/>
      <c r="J21" s="61"/>
      <c r="K21" s="27"/>
      <c r="L21" s="10"/>
      <c r="M21" s="10"/>
      <c r="N21" s="284" t="s">
        <v>25</v>
      </c>
      <c r="O21" s="284"/>
      <c r="P21" s="284"/>
      <c r="Q21" s="284"/>
      <c r="R21" s="284"/>
      <c r="S21" s="26"/>
      <c r="T21" s="26"/>
      <c r="U21" s="26"/>
      <c r="V21" s="30"/>
      <c r="W21" s="12"/>
      <c r="X21" s="12"/>
      <c r="Y21" s="12"/>
      <c r="Z21" s="12"/>
      <c r="AA21" s="12"/>
      <c r="AB21" s="12"/>
      <c r="AC21" s="12"/>
      <c r="AD21" s="2"/>
    </row>
    <row r="22" spans="1:30" ht="25.5" x14ac:dyDescent="0.2">
      <c r="A22" s="58"/>
      <c r="B22" s="64" t="s">
        <v>0</v>
      </c>
      <c r="C22" s="64" t="s">
        <v>32</v>
      </c>
      <c r="D22" s="65" t="s">
        <v>28</v>
      </c>
      <c r="E22" s="65" t="s">
        <v>6</v>
      </c>
      <c r="F22" s="66" t="s">
        <v>1</v>
      </c>
      <c r="G22" s="59" t="s">
        <v>2</v>
      </c>
      <c r="H22" s="66" t="s">
        <v>4</v>
      </c>
      <c r="I22" s="66" t="s">
        <v>8</v>
      </c>
      <c r="J22" s="60"/>
      <c r="L22" s="28" t="s">
        <v>0</v>
      </c>
      <c r="M22" s="29" t="s">
        <v>20</v>
      </c>
      <c r="N22" s="28" t="s">
        <v>23</v>
      </c>
      <c r="O22" s="28" t="s">
        <v>3</v>
      </c>
      <c r="P22" s="28" t="s">
        <v>21</v>
      </c>
      <c r="Q22" s="28" t="s">
        <v>22</v>
      </c>
      <c r="R22" s="29" t="s">
        <v>36</v>
      </c>
      <c r="S22" s="30" t="s">
        <v>3</v>
      </c>
      <c r="T22" s="30" t="s">
        <v>24</v>
      </c>
      <c r="U22" s="30" t="s">
        <v>5</v>
      </c>
      <c r="V22" s="35"/>
      <c r="W22" s="12"/>
      <c r="X22" s="12"/>
      <c r="Y22" s="12"/>
      <c r="Z22" s="12"/>
      <c r="AA22" s="12"/>
      <c r="AB22" s="12"/>
      <c r="AC22" s="12"/>
      <c r="AD22" s="2"/>
    </row>
    <row r="23" spans="1:30" x14ac:dyDescent="0.2">
      <c r="A23" s="36"/>
      <c r="B23" s="238">
        <v>44840</v>
      </c>
      <c r="C23" s="73"/>
      <c r="D23" s="74"/>
      <c r="E23" s="75"/>
      <c r="F23" s="76"/>
      <c r="G23" s="76"/>
      <c r="H23" s="77">
        <f>+D12*G13*-1</f>
        <v>-288077362.52802002</v>
      </c>
      <c r="I23" s="76">
        <f>+D12</f>
        <v>255000000</v>
      </c>
      <c r="J23" s="37"/>
      <c r="K23" s="1"/>
      <c r="L23" s="33">
        <v>44840</v>
      </c>
      <c r="M23" s="267"/>
      <c r="N23" s="32">
        <v>44773</v>
      </c>
      <c r="O23" s="152"/>
      <c r="P23" s="31"/>
      <c r="Q23" s="33"/>
      <c r="R23" s="33"/>
      <c r="S23" s="34">
        <f t="shared" ref="S23:S36" si="0">+L23-$B$23</f>
        <v>0</v>
      </c>
      <c r="T23" s="35"/>
      <c r="U23" s="35"/>
      <c r="V23" s="41"/>
      <c r="W23" s="12"/>
      <c r="X23" s="12"/>
      <c r="Y23" s="12"/>
      <c r="Z23" s="12"/>
      <c r="AA23" s="12"/>
      <c r="AB23" s="12"/>
      <c r="AC23" s="12"/>
      <c r="AD23" s="2"/>
    </row>
    <row r="24" spans="1:30" x14ac:dyDescent="0.2">
      <c r="A24" s="36"/>
      <c r="B24" s="73">
        <v>44854</v>
      </c>
      <c r="C24" s="164">
        <f t="shared" ref="C24:C36" si="1">+$D$38</f>
        <v>0.69810000000000005</v>
      </c>
      <c r="D24" s="78">
        <f t="shared" ref="D24:D29" si="2">IF(C24+$D$14&lt;$D$15,$D$15,IF(C24+$D$14&gt;$D$16,$D$16,C24+$D$14))</f>
        <v>0.70810000000000006</v>
      </c>
      <c r="E24" s="48">
        <f>+F24/$I$23</f>
        <v>0.24740039999999996</v>
      </c>
      <c r="F24" s="77">
        <f t="shared" ref="F24:F36" si="3">+IF(I23&gt;0,MIN(M24-G24,I23),0)</f>
        <v>63087101.999999993</v>
      </c>
      <c r="G24" s="79">
        <f t="shared" ref="G24:G36" si="4">+MIN($M24,Q23+P24)</f>
        <v>45141375.000000007</v>
      </c>
      <c r="H24" s="76">
        <f t="shared" ref="H24:H36" si="5">+F24+G24</f>
        <v>108228477</v>
      </c>
      <c r="I24" s="76">
        <f t="shared" ref="I24:I36" si="6">+I23-F24+R24</f>
        <v>191912898</v>
      </c>
      <c r="J24" s="37"/>
      <c r="L24" s="38">
        <v>44854</v>
      </c>
      <c r="M24" s="173">
        <f t="shared" ref="M24:M31" si="7">+T46*$T$45</f>
        <v>108228477</v>
      </c>
      <c r="N24" s="39">
        <v>44865</v>
      </c>
      <c r="O24" s="153">
        <v>90</v>
      </c>
      <c r="P24" s="40">
        <f>+I23*(D24)/360*O24</f>
        <v>45141375.000000007</v>
      </c>
      <c r="Q24" s="40">
        <f>+Q23+P24-G24-R24</f>
        <v>0</v>
      </c>
      <c r="R24" s="40">
        <f>+IF(M24=0,0,P24+Q23-G24)</f>
        <v>0</v>
      </c>
      <c r="S24" s="34">
        <f t="shared" si="0"/>
        <v>14</v>
      </c>
      <c r="T24" s="41">
        <f t="shared" ref="T24:T29" si="8">+H24/(1+$G$15)^(S24/360)</f>
        <v>105156901.14343846</v>
      </c>
      <c r="U24" s="41">
        <f t="shared" ref="U24:U29" si="9">+T24*S24</f>
        <v>1472196616.0081384</v>
      </c>
      <c r="V24" s="162"/>
      <c r="W24" s="157"/>
      <c r="X24" s="155"/>
      <c r="Y24" s="12"/>
      <c r="Z24" s="12"/>
      <c r="AA24" s="12"/>
      <c r="AB24" s="12"/>
      <c r="AC24" s="12"/>
      <c r="AD24" s="2"/>
    </row>
    <row r="25" spans="1:30" x14ac:dyDescent="0.2">
      <c r="A25" s="36"/>
      <c r="B25" s="73">
        <v>44887</v>
      </c>
      <c r="C25" s="164">
        <f t="shared" si="1"/>
        <v>0.69810000000000005</v>
      </c>
      <c r="D25" s="78">
        <f t="shared" si="2"/>
        <v>0.70810000000000006</v>
      </c>
      <c r="E25" s="48">
        <f>+F25/$I$23</f>
        <v>7.8109908799411765E-2</v>
      </c>
      <c r="F25" s="77">
        <f t="shared" si="3"/>
        <v>19918026.74385</v>
      </c>
      <c r="G25" s="79">
        <f t="shared" si="4"/>
        <v>11324460.25615</v>
      </c>
      <c r="H25" s="76">
        <f t="shared" si="5"/>
        <v>31242487</v>
      </c>
      <c r="I25" s="76">
        <f t="shared" si="6"/>
        <v>171994871.25615001</v>
      </c>
      <c r="J25" s="37"/>
      <c r="L25" s="38">
        <v>44887</v>
      </c>
      <c r="M25" s="173">
        <f t="shared" si="7"/>
        <v>31242487</v>
      </c>
      <c r="N25" s="39">
        <v>44895</v>
      </c>
      <c r="O25" s="153">
        <f t="shared" ref="O25:O36" si="10">+N25-N24</f>
        <v>30</v>
      </c>
      <c r="P25" s="40">
        <f t="shared" ref="P25:P31" si="11">+I24*(D25)/360*O25</f>
        <v>11324460.25615</v>
      </c>
      <c r="Q25" s="40">
        <f t="shared" ref="Q25:Q31" si="12">+Q24+P25-G25-R25</f>
        <v>0</v>
      </c>
      <c r="R25" s="40">
        <f t="shared" ref="R25:R31" si="13">+IF(M25=0,0,P25+Q24-G25)</f>
        <v>0</v>
      </c>
      <c r="S25" s="34">
        <f t="shared" si="0"/>
        <v>47</v>
      </c>
      <c r="T25" s="41">
        <f t="shared" si="8"/>
        <v>28364077.520566002</v>
      </c>
      <c r="U25" s="41">
        <f t="shared" si="9"/>
        <v>1333111643.4666021</v>
      </c>
      <c r="V25" s="162"/>
      <c r="W25" s="157"/>
      <c r="X25" s="155"/>
      <c r="Y25" s="12"/>
      <c r="Z25" s="12"/>
      <c r="AA25" s="12"/>
      <c r="AB25" s="12"/>
      <c r="AC25" s="12"/>
      <c r="AD25" s="2"/>
    </row>
    <row r="26" spans="1:30" x14ac:dyDescent="0.2">
      <c r="A26" s="36"/>
      <c r="B26" s="73">
        <v>44915</v>
      </c>
      <c r="C26" s="164">
        <f t="shared" si="1"/>
        <v>0.69810000000000005</v>
      </c>
      <c r="D26" s="78">
        <f t="shared" si="2"/>
        <v>0.70810000000000006</v>
      </c>
      <c r="E26" s="48">
        <f>+F26/$I$23</f>
        <v>7.9783840412915086E-2</v>
      </c>
      <c r="F26" s="77">
        <f t="shared" si="3"/>
        <v>20344879.305293348</v>
      </c>
      <c r="G26" s="79">
        <f t="shared" si="4"/>
        <v>10149130.694706652</v>
      </c>
      <c r="H26" s="76">
        <f t="shared" si="5"/>
        <v>30494010</v>
      </c>
      <c r="I26" s="76">
        <f t="shared" si="6"/>
        <v>151649991.95085666</v>
      </c>
      <c r="J26" s="37"/>
      <c r="L26" s="38">
        <v>44915</v>
      </c>
      <c r="M26" s="173">
        <f t="shared" si="7"/>
        <v>30494010</v>
      </c>
      <c r="N26" s="39">
        <v>44926</v>
      </c>
      <c r="O26" s="153">
        <v>30</v>
      </c>
      <c r="P26" s="40">
        <f t="shared" si="11"/>
        <v>10149130.694706652</v>
      </c>
      <c r="Q26" s="40">
        <f t="shared" si="12"/>
        <v>0</v>
      </c>
      <c r="R26" s="40">
        <f t="shared" si="13"/>
        <v>0</v>
      </c>
      <c r="S26" s="34">
        <f t="shared" si="0"/>
        <v>75</v>
      </c>
      <c r="T26" s="41">
        <f t="shared" si="8"/>
        <v>26135455.226398904</v>
      </c>
      <c r="U26" s="41">
        <f t="shared" si="9"/>
        <v>1960159141.9799178</v>
      </c>
      <c r="V26" s="162"/>
      <c r="W26" s="157"/>
      <c r="X26" s="155"/>
      <c r="Y26" s="12"/>
      <c r="Z26" s="12"/>
      <c r="AA26" s="12"/>
      <c r="AB26" s="12"/>
      <c r="AC26" s="12"/>
      <c r="AD26" s="2"/>
    </row>
    <row r="27" spans="1:30" x14ac:dyDescent="0.2">
      <c r="A27" s="36"/>
      <c r="B27" s="73">
        <v>44946</v>
      </c>
      <c r="C27" s="164">
        <f t="shared" si="1"/>
        <v>0.69810000000000005</v>
      </c>
      <c r="D27" s="78">
        <f t="shared" si="2"/>
        <v>0.70810000000000006</v>
      </c>
      <c r="E27" s="48">
        <f t="shared" ref="E27:E36" si="14">+F27/$I$23</f>
        <v>8.2255928333202097E-2</v>
      </c>
      <c r="F27" s="77">
        <f t="shared" si="3"/>
        <v>20975261.724966533</v>
      </c>
      <c r="G27" s="79">
        <f t="shared" si="4"/>
        <v>8948613.2750334665</v>
      </c>
      <c r="H27" s="76">
        <f t="shared" si="5"/>
        <v>29923875</v>
      </c>
      <c r="I27" s="76">
        <f t="shared" si="6"/>
        <v>130674730.22589013</v>
      </c>
      <c r="J27" s="37"/>
      <c r="K27" s="1"/>
      <c r="L27" s="38">
        <v>44946</v>
      </c>
      <c r="M27" s="173">
        <f t="shared" si="7"/>
        <v>29923875</v>
      </c>
      <c r="N27" s="39">
        <v>44957</v>
      </c>
      <c r="O27" s="153">
        <v>30</v>
      </c>
      <c r="P27" s="40">
        <f t="shared" si="11"/>
        <v>8948613.2750334665</v>
      </c>
      <c r="Q27" s="40">
        <f t="shared" si="12"/>
        <v>0</v>
      </c>
      <c r="R27" s="40">
        <f t="shared" si="13"/>
        <v>0</v>
      </c>
      <c r="S27" s="34">
        <f t="shared" si="0"/>
        <v>106</v>
      </c>
      <c r="T27" s="41">
        <f t="shared" si="8"/>
        <v>24062815.910259999</v>
      </c>
      <c r="U27" s="41">
        <f t="shared" si="9"/>
        <v>2550658486.4875598</v>
      </c>
      <c r="V27" s="162"/>
      <c r="W27" s="157"/>
      <c r="X27" s="155"/>
      <c r="Y27" s="12"/>
      <c r="Z27" s="12"/>
      <c r="AA27" s="12"/>
      <c r="AB27" s="12"/>
      <c r="AC27" s="12"/>
      <c r="AD27" s="2"/>
    </row>
    <row r="28" spans="1:30" x14ac:dyDescent="0.2">
      <c r="A28" s="36"/>
      <c r="B28" s="73">
        <v>44977</v>
      </c>
      <c r="C28" s="164">
        <f t="shared" si="1"/>
        <v>0.69810000000000005</v>
      </c>
      <c r="D28" s="78">
        <f t="shared" si="2"/>
        <v>0.70810000000000006</v>
      </c>
      <c r="E28" s="48">
        <f t="shared" si="14"/>
        <v>9.0487905727793208E-2</v>
      </c>
      <c r="F28" s="77">
        <f t="shared" si="3"/>
        <v>23074415.960587267</v>
      </c>
      <c r="G28" s="79">
        <f t="shared" si="4"/>
        <v>7710898.0394127341</v>
      </c>
      <c r="H28" s="76">
        <f t="shared" si="5"/>
        <v>30785314</v>
      </c>
      <c r="I28" s="76">
        <f t="shared" si="6"/>
        <v>107600314.26530287</v>
      </c>
      <c r="J28" s="37"/>
      <c r="K28" s="1"/>
      <c r="L28" s="38">
        <v>44977</v>
      </c>
      <c r="M28" s="173">
        <f t="shared" si="7"/>
        <v>30785314</v>
      </c>
      <c r="N28" s="39">
        <v>44985</v>
      </c>
      <c r="O28" s="153">
        <v>30</v>
      </c>
      <c r="P28" s="40">
        <f t="shared" si="11"/>
        <v>7710898.0394127341</v>
      </c>
      <c r="Q28" s="40">
        <f t="shared" si="12"/>
        <v>0</v>
      </c>
      <c r="R28" s="40">
        <f t="shared" si="13"/>
        <v>0</v>
      </c>
      <c r="S28" s="34">
        <f t="shared" si="0"/>
        <v>137</v>
      </c>
      <c r="T28" s="41">
        <f t="shared" si="8"/>
        <v>23226581.255537432</v>
      </c>
      <c r="U28" s="41">
        <f t="shared" si="9"/>
        <v>3182041632.0086284</v>
      </c>
      <c r="V28" s="162"/>
      <c r="W28" s="157"/>
      <c r="X28" s="155"/>
      <c r="Y28" s="12"/>
      <c r="Z28" s="12"/>
      <c r="AA28" s="12"/>
      <c r="AB28" s="12"/>
      <c r="AC28" s="12"/>
      <c r="AD28" s="2"/>
    </row>
    <row r="29" spans="1:30" x14ac:dyDescent="0.2">
      <c r="A29" s="36"/>
      <c r="B29" s="73">
        <v>45005</v>
      </c>
      <c r="C29" s="164">
        <f t="shared" si="1"/>
        <v>0.69810000000000005</v>
      </c>
      <c r="D29" s="78">
        <f t="shared" si="2"/>
        <v>0.70810000000000006</v>
      </c>
      <c r="E29" s="48">
        <f t="shared" si="14"/>
        <v>8.9470932506123854E-2</v>
      </c>
      <c r="F29" s="77">
        <f t="shared" si="3"/>
        <v>22815087.789061584</v>
      </c>
      <c r="G29" s="79">
        <f t="shared" si="4"/>
        <v>6349315.2109384146</v>
      </c>
      <c r="H29" s="76">
        <f t="shared" si="5"/>
        <v>29164403</v>
      </c>
      <c r="I29" s="76">
        <f t="shared" si="6"/>
        <v>84785226.476241291</v>
      </c>
      <c r="J29" s="37"/>
      <c r="K29" s="1"/>
      <c r="L29" s="38">
        <v>45005</v>
      </c>
      <c r="M29" s="173">
        <f t="shared" si="7"/>
        <v>29164403</v>
      </c>
      <c r="N29" s="39">
        <v>45016</v>
      </c>
      <c r="O29" s="153">
        <v>30</v>
      </c>
      <c r="P29" s="40">
        <f t="shared" si="11"/>
        <v>6349315.2109384146</v>
      </c>
      <c r="Q29" s="40">
        <f t="shared" si="12"/>
        <v>0</v>
      </c>
      <c r="R29" s="40">
        <f t="shared" si="13"/>
        <v>0</v>
      </c>
      <c r="S29" s="34">
        <f t="shared" si="0"/>
        <v>165</v>
      </c>
      <c r="T29" s="41">
        <f t="shared" si="8"/>
        <v>20772427.802621145</v>
      </c>
      <c r="U29" s="41">
        <f t="shared" si="9"/>
        <v>3427450587.4324889</v>
      </c>
      <c r="V29" s="162"/>
      <c r="W29" s="157"/>
      <c r="X29" s="155"/>
      <c r="Y29" s="12"/>
      <c r="Z29" s="12"/>
      <c r="AA29" s="12"/>
      <c r="AB29" s="12"/>
      <c r="AC29" s="12"/>
      <c r="AD29" s="2"/>
    </row>
    <row r="30" spans="1:30" x14ac:dyDescent="0.2">
      <c r="A30" s="36"/>
      <c r="B30" s="73">
        <v>45036</v>
      </c>
      <c r="C30" s="164">
        <f t="shared" si="1"/>
        <v>0.69810000000000005</v>
      </c>
      <c r="D30" s="78">
        <f t="shared" ref="D30:D36" si="15">IF(C30+$D$14&lt;$D$15,$D$15,IF(C30+$D$14&gt;$D$16,$D$16,C30+$D$14))</f>
        <v>0.70810000000000006</v>
      </c>
      <c r="E30" s="48">
        <f t="shared" si="14"/>
        <v>8.9586529781756047E-2</v>
      </c>
      <c r="F30" s="77">
        <f t="shared" si="3"/>
        <v>22844565.094347794</v>
      </c>
      <c r="G30" s="79">
        <f t="shared" si="4"/>
        <v>5003034.9056522055</v>
      </c>
      <c r="H30" s="76">
        <f t="shared" si="5"/>
        <v>27847600</v>
      </c>
      <c r="I30" s="76">
        <f t="shared" si="6"/>
        <v>61940661.381893501</v>
      </c>
      <c r="J30" s="37"/>
      <c r="K30" s="1"/>
      <c r="L30" s="38">
        <v>45036</v>
      </c>
      <c r="M30" s="173">
        <f t="shared" si="7"/>
        <v>27847600</v>
      </c>
      <c r="N30" s="39">
        <v>45046</v>
      </c>
      <c r="O30" s="153">
        <f t="shared" si="10"/>
        <v>30</v>
      </c>
      <c r="P30" s="40">
        <f t="shared" si="11"/>
        <v>5003034.9056522055</v>
      </c>
      <c r="Q30" s="40">
        <f t="shared" si="12"/>
        <v>0</v>
      </c>
      <c r="R30" s="40">
        <f t="shared" si="13"/>
        <v>0</v>
      </c>
      <c r="S30" s="34">
        <f t="shared" si="0"/>
        <v>196</v>
      </c>
      <c r="T30" s="41">
        <f t="shared" ref="T30:T36" si="16">+H30/(1+$G$15)^(S30/360)</f>
        <v>18609513.751001723</v>
      </c>
      <c r="U30" s="41">
        <f t="shared" ref="U30:U36" si="17">+T30*S30</f>
        <v>3647464695.1963377</v>
      </c>
      <c r="V30" s="162"/>
      <c r="W30" s="157"/>
      <c r="X30" s="155"/>
      <c r="Y30" s="12"/>
      <c r="Z30" s="12"/>
      <c r="AA30" s="12"/>
      <c r="AB30" s="12"/>
      <c r="AC30" s="12"/>
      <c r="AD30" s="2"/>
    </row>
    <row r="31" spans="1:30" x14ac:dyDescent="0.2">
      <c r="A31" s="36"/>
      <c r="B31" s="73">
        <v>45068</v>
      </c>
      <c r="C31" s="164">
        <f t="shared" si="1"/>
        <v>0.69810000000000005</v>
      </c>
      <c r="D31" s="78">
        <f t="shared" si="15"/>
        <v>0.70810000000000006</v>
      </c>
      <c r="E31" s="48">
        <f t="shared" si="14"/>
        <v>0.10438667767172588</v>
      </c>
      <c r="F31" s="77">
        <f t="shared" si="3"/>
        <v>26618602.806290101</v>
      </c>
      <c r="G31" s="79">
        <f t="shared" si="4"/>
        <v>3655015.1937098992</v>
      </c>
      <c r="H31" s="76">
        <f t="shared" si="5"/>
        <v>30273618</v>
      </c>
      <c r="I31" s="76">
        <f t="shared" si="6"/>
        <v>35322058.575603396</v>
      </c>
      <c r="J31" s="37"/>
      <c r="K31" s="1"/>
      <c r="L31" s="38">
        <v>45068</v>
      </c>
      <c r="M31" s="173">
        <f t="shared" si="7"/>
        <v>30273618</v>
      </c>
      <c r="N31" s="39">
        <v>45077</v>
      </c>
      <c r="O31" s="153">
        <v>30</v>
      </c>
      <c r="P31" s="40">
        <f t="shared" si="11"/>
        <v>3655015.1937098992</v>
      </c>
      <c r="Q31" s="40">
        <f t="shared" si="12"/>
        <v>0</v>
      </c>
      <c r="R31" s="40">
        <f t="shared" si="13"/>
        <v>0</v>
      </c>
      <c r="S31" s="34">
        <f t="shared" si="0"/>
        <v>228</v>
      </c>
      <c r="T31" s="41">
        <f t="shared" si="16"/>
        <v>18942248.936169285</v>
      </c>
      <c r="U31" s="41">
        <f t="shared" si="17"/>
        <v>4318832757.4465971</v>
      </c>
      <c r="V31" s="162"/>
      <c r="W31" s="157"/>
      <c r="X31" s="155"/>
      <c r="Y31" s="12"/>
      <c r="Z31" s="12"/>
      <c r="AA31" s="12"/>
      <c r="AB31" s="12"/>
      <c r="AC31" s="12"/>
      <c r="AD31" s="2"/>
    </row>
    <row r="32" spans="1:30" x14ac:dyDescent="0.2">
      <c r="A32" s="36"/>
      <c r="B32" s="73">
        <v>45097</v>
      </c>
      <c r="C32" s="164">
        <f t="shared" si="1"/>
        <v>0.69810000000000005</v>
      </c>
      <c r="D32" s="78">
        <f t="shared" si="15"/>
        <v>0.70810000000000006</v>
      </c>
      <c r="E32" s="48">
        <f t="shared" si="14"/>
        <v>9.8925424288436342E-2</v>
      </c>
      <c r="F32" s="77">
        <f t="shared" si="3"/>
        <v>25225983.193551268</v>
      </c>
      <c r="G32" s="79">
        <f t="shared" si="4"/>
        <v>2084295.8064487304</v>
      </c>
      <c r="H32" s="76">
        <f t="shared" si="5"/>
        <v>27310279</v>
      </c>
      <c r="I32" s="76">
        <f t="shared" si="6"/>
        <v>10096075.382052127</v>
      </c>
      <c r="J32" s="37"/>
      <c r="K32" s="1"/>
      <c r="L32" s="38">
        <v>45097</v>
      </c>
      <c r="M32" s="173">
        <f>+T54*$T$45</f>
        <v>27310279</v>
      </c>
      <c r="N32" s="39">
        <v>45107</v>
      </c>
      <c r="O32" s="153">
        <f t="shared" si="10"/>
        <v>30</v>
      </c>
      <c r="P32" s="40">
        <f>+I31*(D32)/360*O32</f>
        <v>2084295.8064487304</v>
      </c>
      <c r="Q32" s="40">
        <f>+Q31+P32-G32-R32</f>
        <v>0</v>
      </c>
      <c r="R32" s="40">
        <f>+IF(M32=0,0,P32+Q31-G32)</f>
        <v>0</v>
      </c>
      <c r="S32" s="34">
        <f t="shared" si="0"/>
        <v>257</v>
      </c>
      <c r="T32" s="41">
        <f t="shared" si="16"/>
        <v>16098769.733535459</v>
      </c>
      <c r="U32" s="41">
        <f t="shared" si="17"/>
        <v>4137383821.5186129</v>
      </c>
      <c r="V32" s="162"/>
      <c r="W32" s="157"/>
      <c r="X32" s="155"/>
      <c r="Y32" s="12"/>
      <c r="Z32" s="12"/>
      <c r="AA32" s="12"/>
      <c r="AB32" s="12"/>
      <c r="AC32" s="12"/>
      <c r="AD32" s="2"/>
    </row>
    <row r="33" spans="1:30" x14ac:dyDescent="0.2">
      <c r="A33" s="36"/>
      <c r="B33" s="73">
        <v>45127</v>
      </c>
      <c r="C33" s="164">
        <f t="shared" si="1"/>
        <v>0.69810000000000005</v>
      </c>
      <c r="D33" s="78">
        <f t="shared" si="15"/>
        <v>0.70810000000000006</v>
      </c>
      <c r="E33" s="48">
        <f t="shared" si="14"/>
        <v>3.9592452478635791E-2</v>
      </c>
      <c r="F33" s="77">
        <f t="shared" si="3"/>
        <v>10096075.382052127</v>
      </c>
      <c r="G33" s="79">
        <f t="shared" si="4"/>
        <v>595752.58150259266</v>
      </c>
      <c r="H33" s="76">
        <f t="shared" si="5"/>
        <v>10691827.963554719</v>
      </c>
      <c r="I33" s="76">
        <f t="shared" si="6"/>
        <v>0</v>
      </c>
      <c r="J33" s="37"/>
      <c r="K33" s="1"/>
      <c r="L33" s="38">
        <v>45127</v>
      </c>
      <c r="M33" s="173">
        <f>+T58*$T$45</f>
        <v>18712794</v>
      </c>
      <c r="N33" s="39">
        <v>44773</v>
      </c>
      <c r="O33" s="153">
        <v>30</v>
      </c>
      <c r="P33" s="40">
        <f>+I32*(D33)/360*O33</f>
        <v>595752.58150259266</v>
      </c>
      <c r="Q33" s="40">
        <f>+Q32+P33-G33-R33</f>
        <v>0</v>
      </c>
      <c r="R33" s="40">
        <f>+IF(M33=0,0,P33+Q32-G33)</f>
        <v>0</v>
      </c>
      <c r="S33" s="34">
        <f t="shared" si="0"/>
        <v>287</v>
      </c>
      <c r="T33" s="41">
        <f t="shared" si="16"/>
        <v>5925496.2289546384</v>
      </c>
      <c r="U33" s="41">
        <f t="shared" si="17"/>
        <v>1700617417.7099812</v>
      </c>
      <c r="V33" s="162"/>
      <c r="W33" s="157"/>
      <c r="X33" s="155"/>
      <c r="Y33" s="12"/>
      <c r="Z33" s="12"/>
      <c r="AA33" s="12"/>
      <c r="AB33" s="12"/>
      <c r="AC33" s="12"/>
      <c r="AD33" s="2"/>
    </row>
    <row r="34" spans="1:30" x14ac:dyDescent="0.2">
      <c r="A34" s="36"/>
      <c r="B34" s="73">
        <v>45159</v>
      </c>
      <c r="C34" s="164">
        <f t="shared" si="1"/>
        <v>0.69810000000000005</v>
      </c>
      <c r="D34" s="78">
        <f t="shared" si="15"/>
        <v>0.70810000000000006</v>
      </c>
      <c r="E34" s="48">
        <f t="shared" si="14"/>
        <v>0</v>
      </c>
      <c r="F34" s="77">
        <f t="shared" si="3"/>
        <v>0</v>
      </c>
      <c r="G34" s="79">
        <f t="shared" si="4"/>
        <v>0</v>
      </c>
      <c r="H34" s="76">
        <f t="shared" si="5"/>
        <v>0</v>
      </c>
      <c r="I34" s="76">
        <f t="shared" si="6"/>
        <v>0</v>
      </c>
      <c r="J34" s="37"/>
      <c r="K34" s="1"/>
      <c r="L34" s="38">
        <v>45159</v>
      </c>
      <c r="M34" s="173">
        <f>+T59*$T$45</f>
        <v>15912584</v>
      </c>
      <c r="N34" s="39">
        <v>44804</v>
      </c>
      <c r="O34" s="153">
        <f t="shared" si="10"/>
        <v>31</v>
      </c>
      <c r="P34" s="40">
        <f>+I33*(D34)/360*O34</f>
        <v>0</v>
      </c>
      <c r="Q34" s="40">
        <f>+Q33+P34-G34-R34</f>
        <v>0</v>
      </c>
      <c r="R34" s="40">
        <f>+IF(M34=0,0,P34+Q33-G34)</f>
        <v>0</v>
      </c>
      <c r="S34" s="34">
        <f>+L34-$B$23</f>
        <v>319</v>
      </c>
      <c r="T34" s="41">
        <f t="shared" si="16"/>
        <v>0</v>
      </c>
      <c r="U34" s="41">
        <f t="shared" si="17"/>
        <v>0</v>
      </c>
      <c r="V34" s="162"/>
      <c r="W34" s="157"/>
      <c r="X34" s="155"/>
      <c r="Y34" s="12"/>
      <c r="Z34" s="12"/>
      <c r="AA34" s="12"/>
      <c r="AB34" s="12"/>
      <c r="AC34" s="12"/>
      <c r="AD34" s="2"/>
    </row>
    <row r="35" spans="1:30" x14ac:dyDescent="0.2">
      <c r="A35" s="36"/>
      <c r="B35" s="73">
        <v>45189</v>
      </c>
      <c r="C35" s="164">
        <f t="shared" si="1"/>
        <v>0.69810000000000005</v>
      </c>
      <c r="D35" s="78">
        <f t="shared" si="15"/>
        <v>0.70810000000000006</v>
      </c>
      <c r="E35" s="48">
        <f t="shared" si="14"/>
        <v>0</v>
      </c>
      <c r="F35" s="77">
        <f t="shared" si="3"/>
        <v>0</v>
      </c>
      <c r="G35" s="79">
        <f t="shared" si="4"/>
        <v>0</v>
      </c>
      <c r="H35" s="76">
        <f t="shared" si="5"/>
        <v>0</v>
      </c>
      <c r="I35" s="76">
        <f t="shared" si="6"/>
        <v>0</v>
      </c>
      <c r="J35" s="37"/>
      <c r="K35" s="1"/>
      <c r="L35" s="38">
        <v>45189</v>
      </c>
      <c r="M35" s="173">
        <f>+T60*$T$45</f>
        <v>18603235</v>
      </c>
      <c r="N35" s="39">
        <v>44834</v>
      </c>
      <c r="O35" s="153">
        <f t="shared" si="10"/>
        <v>30</v>
      </c>
      <c r="P35" s="40">
        <f>+I34*(D35)/360*O35</f>
        <v>0</v>
      </c>
      <c r="Q35" s="40">
        <f>+Q34+P35-G35-R35</f>
        <v>0</v>
      </c>
      <c r="R35" s="40">
        <f>+IF(M35=0,0,P35+Q34-G35)</f>
        <v>0</v>
      </c>
      <c r="S35" s="34">
        <f>+L35-$B$23</f>
        <v>349</v>
      </c>
      <c r="T35" s="41">
        <f t="shared" si="16"/>
        <v>0</v>
      </c>
      <c r="U35" s="41">
        <f t="shared" si="17"/>
        <v>0</v>
      </c>
      <c r="V35" s="162"/>
      <c r="W35" s="157"/>
      <c r="X35" s="155"/>
      <c r="Y35" s="12"/>
      <c r="Z35" s="12"/>
      <c r="AA35" s="12"/>
      <c r="AB35" s="12"/>
      <c r="AC35" s="12"/>
      <c r="AD35" s="2"/>
    </row>
    <row r="36" spans="1:30" x14ac:dyDescent="0.2">
      <c r="A36" s="36"/>
      <c r="B36" s="73">
        <v>45219</v>
      </c>
      <c r="C36" s="164">
        <f t="shared" si="1"/>
        <v>0.69810000000000005</v>
      </c>
      <c r="D36" s="78">
        <f t="shared" si="15"/>
        <v>0.70810000000000006</v>
      </c>
      <c r="E36" s="48">
        <f t="shared" si="14"/>
        <v>0</v>
      </c>
      <c r="F36" s="77">
        <f t="shared" si="3"/>
        <v>0</v>
      </c>
      <c r="G36" s="79">
        <f t="shared" si="4"/>
        <v>0</v>
      </c>
      <c r="H36" s="76">
        <f t="shared" si="5"/>
        <v>0</v>
      </c>
      <c r="I36" s="76">
        <f t="shared" si="6"/>
        <v>0</v>
      </c>
      <c r="J36" s="37"/>
      <c r="K36" s="1"/>
      <c r="L36" s="42">
        <v>45219</v>
      </c>
      <c r="M36" s="176">
        <f>+T59*$T$45</f>
        <v>15912584</v>
      </c>
      <c r="N36" s="43">
        <v>44865</v>
      </c>
      <c r="O36" s="245">
        <f t="shared" si="10"/>
        <v>31</v>
      </c>
      <c r="P36" s="44">
        <f>+I33*(D36)/360*O36</f>
        <v>0</v>
      </c>
      <c r="Q36" s="44">
        <f>+Q33+P36-G36-R36</f>
        <v>0</v>
      </c>
      <c r="R36" s="44">
        <f>+IF(M36=0,0,P36+Q33-G36)</f>
        <v>0</v>
      </c>
      <c r="S36" s="34">
        <f t="shared" si="0"/>
        <v>379</v>
      </c>
      <c r="T36" s="41">
        <f t="shared" si="16"/>
        <v>0</v>
      </c>
      <c r="U36" s="41">
        <f t="shared" si="17"/>
        <v>0</v>
      </c>
      <c r="V36" s="162"/>
      <c r="W36" s="157"/>
      <c r="X36" s="155"/>
      <c r="Y36" s="12"/>
      <c r="Z36" s="12"/>
      <c r="AA36" s="12"/>
      <c r="AB36" s="12"/>
      <c r="AC36" s="12"/>
      <c r="AD36" s="2"/>
    </row>
    <row r="37" spans="1:30" s="6" customFormat="1" x14ac:dyDescent="0.2">
      <c r="A37" s="54"/>
      <c r="B37" s="67"/>
      <c r="C37" s="67"/>
      <c r="D37" s="68"/>
      <c r="E37" s="69">
        <f>SUM(E24:E36)</f>
        <v>1</v>
      </c>
      <c r="F37" s="70">
        <f>SUM(F23:F36)</f>
        <v>255000000</v>
      </c>
      <c r="G37" s="71">
        <f>SUM(G23:G36)</f>
        <v>100961890.9635547</v>
      </c>
      <c r="H37" s="70">
        <f>SUM(H24:H36)</f>
        <v>355961890.96355474</v>
      </c>
      <c r="I37" s="72"/>
      <c r="J37" s="57"/>
      <c r="K37" s="9"/>
      <c r="L37" s="45"/>
      <c r="M37" s="130"/>
      <c r="N37" s="45"/>
      <c r="O37" s="45"/>
      <c r="P37" s="154"/>
      <c r="Q37" s="45"/>
      <c r="R37" s="45"/>
      <c r="S37" s="45"/>
      <c r="T37" s="46">
        <f>SUM(T24:T36)</f>
        <v>287294287.50848299</v>
      </c>
      <c r="U37" s="46">
        <f>SUM(U24:U36)</f>
        <v>27729916799.254864</v>
      </c>
      <c r="V37" s="162"/>
      <c r="W37" s="155"/>
      <c r="X37" s="159"/>
      <c r="Y37" s="12"/>
      <c r="Z37" s="12"/>
      <c r="AA37" s="12"/>
      <c r="AB37" s="12"/>
      <c r="AC37" s="12"/>
    </row>
    <row r="38" spans="1:30" s="6" customFormat="1" x14ac:dyDescent="0.2">
      <c r="A38" s="54"/>
      <c r="B38" s="122" t="s">
        <v>35</v>
      </c>
      <c r="C38" s="55"/>
      <c r="D38" s="164">
        <v>0.69810000000000005</v>
      </c>
      <c r="E38" s="56"/>
      <c r="F38" s="63"/>
      <c r="G38" s="63"/>
      <c r="H38" s="63"/>
      <c r="I38" s="62"/>
      <c r="J38" s="57"/>
      <c r="K38" s="9"/>
      <c r="L38" s="45"/>
      <c r="M38" s="45"/>
      <c r="N38" s="45"/>
      <c r="O38" s="45"/>
      <c r="P38" s="12"/>
      <c r="Q38" s="12"/>
      <c r="R38" s="12"/>
      <c r="S38" s="12"/>
      <c r="T38" s="12"/>
      <c r="U38" s="47">
        <f>+U37/T37</f>
        <v>96.520947352411511</v>
      </c>
      <c r="V38" s="157"/>
      <c r="W38" s="12"/>
      <c r="X38" s="158"/>
      <c r="Y38" s="12"/>
      <c r="Z38" s="12"/>
      <c r="AA38" s="12"/>
      <c r="AB38" s="12"/>
      <c r="AC38" s="12"/>
    </row>
    <row r="39" spans="1:30" s="6" customFormat="1" x14ac:dyDescent="0.2">
      <c r="A39" s="54"/>
      <c r="B39" s="122"/>
      <c r="C39" s="265"/>
      <c r="D39" s="128"/>
      <c r="E39" s="56"/>
      <c r="F39" s="126"/>
      <c r="G39" s="126"/>
      <c r="H39" s="126"/>
      <c r="I39" s="127"/>
      <c r="J39" s="57"/>
      <c r="K39" s="9"/>
      <c r="L39" s="45"/>
      <c r="M39" s="45"/>
      <c r="N39" s="45"/>
      <c r="O39" s="45"/>
      <c r="P39" s="12"/>
      <c r="Q39" s="12"/>
      <c r="R39" s="12"/>
      <c r="S39" s="12"/>
      <c r="T39" s="131" t="s">
        <v>5</v>
      </c>
      <c r="U39" s="47">
        <f>+U38/30</f>
        <v>3.2173649117470502</v>
      </c>
      <c r="V39" s="41"/>
      <c r="W39" s="12"/>
      <c r="X39" s="12"/>
      <c r="Y39" s="12"/>
      <c r="Z39" s="12"/>
      <c r="AA39" s="12"/>
      <c r="AB39" s="12"/>
      <c r="AC39" s="12"/>
    </row>
    <row r="40" spans="1:30" s="6" customFormat="1" x14ac:dyDescent="0.2">
      <c r="A40" s="54"/>
      <c r="B40" s="250"/>
      <c r="C40" s="266"/>
      <c r="D40" s="250"/>
      <c r="E40" s="250"/>
      <c r="F40" s="126"/>
      <c r="G40" s="126"/>
      <c r="H40" s="126"/>
      <c r="I40" s="127"/>
      <c r="J40" s="57"/>
      <c r="K40" s="9"/>
      <c r="L40" s="45"/>
      <c r="M40" s="45"/>
      <c r="N40" s="45"/>
      <c r="O40" s="45"/>
      <c r="P40" s="12"/>
      <c r="Q40" s="12"/>
      <c r="R40" s="12"/>
      <c r="S40" s="12"/>
      <c r="T40" s="12"/>
      <c r="U40" s="47"/>
      <c r="V40" s="41"/>
      <c r="W40" s="12"/>
      <c r="X40" s="12"/>
      <c r="Y40" s="12"/>
      <c r="Z40" s="12"/>
      <c r="AA40" s="12"/>
      <c r="AB40" s="12"/>
      <c r="AC40" s="12"/>
    </row>
    <row r="41" spans="1:30" x14ac:dyDescent="0.2">
      <c r="B41" s="122"/>
      <c r="C41" s="55"/>
      <c r="D41" s="128"/>
      <c r="E41" s="56"/>
      <c r="F41" s="126"/>
      <c r="G41" s="126"/>
      <c r="H41" s="126"/>
      <c r="I41" s="127"/>
      <c r="L41" s="45"/>
      <c r="M41" s="45"/>
      <c r="N41" s="45"/>
      <c r="O41" s="45"/>
      <c r="P41" s="12"/>
      <c r="Q41" s="12"/>
      <c r="R41" s="12"/>
      <c r="S41" s="12"/>
      <c r="T41" s="12"/>
      <c r="U41" s="47"/>
      <c r="V41" s="51"/>
      <c r="W41" s="115"/>
      <c r="X41" s="144"/>
      <c r="Y41" s="3"/>
      <c r="AC41" s="12"/>
      <c r="AD41" s="2"/>
    </row>
    <row r="42" spans="1:30" ht="15" x14ac:dyDescent="0.2">
      <c r="B42" s="277" t="s">
        <v>30</v>
      </c>
      <c r="C42" s="277"/>
      <c r="D42" s="277"/>
      <c r="E42" s="277"/>
      <c r="F42" s="277"/>
      <c r="G42" s="277"/>
      <c r="H42" s="277"/>
      <c r="I42" s="143"/>
      <c r="J42" s="6"/>
      <c r="K42" s="6"/>
      <c r="O42" s="50"/>
      <c r="P42" s="50"/>
      <c r="Q42" s="50"/>
      <c r="R42" s="50"/>
      <c r="S42" s="50"/>
      <c r="T42" s="50"/>
      <c r="U42" s="50"/>
      <c r="V42" s="50"/>
      <c r="W42" s="51"/>
      <c r="X42" s="116"/>
    </row>
    <row r="43" spans="1:30" x14ac:dyDescent="0.2">
      <c r="B43" s="276" t="s">
        <v>26</v>
      </c>
      <c r="C43" s="276"/>
      <c r="D43" s="276"/>
      <c r="E43" s="276"/>
      <c r="F43" s="276"/>
      <c r="G43" s="276"/>
      <c r="H43" s="276"/>
      <c r="I43" s="124"/>
      <c r="J43" s="6"/>
      <c r="K43" s="5"/>
      <c r="L43" s="10"/>
      <c r="M43" s="10"/>
      <c r="N43" s="284" t="s">
        <v>25</v>
      </c>
      <c r="O43" s="284"/>
      <c r="P43" s="284"/>
      <c r="Q43" s="284"/>
      <c r="R43" s="26"/>
      <c r="S43" s="26"/>
      <c r="T43" s="50"/>
      <c r="U43" s="50"/>
      <c r="V43" s="50"/>
      <c r="W43" s="3"/>
      <c r="X43" s="144"/>
      <c r="Y43" s="3"/>
      <c r="AC43" s="12"/>
    </row>
    <row r="44" spans="1:30" ht="25.5" x14ac:dyDescent="0.2">
      <c r="B44" s="64" t="s">
        <v>0</v>
      </c>
      <c r="C44" s="65" t="s">
        <v>29</v>
      </c>
      <c r="D44" s="65" t="s">
        <v>6</v>
      </c>
      <c r="E44" s="66" t="s">
        <v>1</v>
      </c>
      <c r="F44" s="59" t="s">
        <v>2</v>
      </c>
      <c r="G44" s="66" t="s">
        <v>4</v>
      </c>
      <c r="H44" s="66" t="s">
        <v>8</v>
      </c>
      <c r="I44" s="188"/>
      <c r="J44" s="6"/>
      <c r="K44" s="5"/>
      <c r="L44" s="28" t="s">
        <v>0</v>
      </c>
      <c r="M44" s="29" t="s">
        <v>20</v>
      </c>
      <c r="N44" s="28" t="s">
        <v>23</v>
      </c>
      <c r="O44" s="28" t="s">
        <v>3</v>
      </c>
      <c r="P44" s="28" t="s">
        <v>21</v>
      </c>
      <c r="Q44" s="28" t="s">
        <v>22</v>
      </c>
      <c r="R44" s="30"/>
      <c r="S44" s="30"/>
      <c r="T44" s="197">
        <f>+P14</f>
        <v>255000000</v>
      </c>
      <c r="U44" s="50"/>
      <c r="V44" s="51"/>
      <c r="W44" s="50"/>
      <c r="X44" s="144"/>
      <c r="Y44" s="3"/>
      <c r="AC44" s="12"/>
    </row>
    <row r="45" spans="1:30" x14ac:dyDescent="0.2">
      <c r="B45" s="238">
        <v>44840</v>
      </c>
      <c r="C45" s="74"/>
      <c r="D45" s="75"/>
      <c r="E45" s="76"/>
      <c r="F45" s="76"/>
      <c r="G45" s="77">
        <v>0</v>
      </c>
      <c r="H45" s="76">
        <f>+P14</f>
        <v>255000000</v>
      </c>
      <c r="I45" s="189"/>
      <c r="J45" s="6"/>
      <c r="K45" s="5"/>
      <c r="L45" s="32">
        <f>+B45</f>
        <v>44840</v>
      </c>
      <c r="M45" s="181"/>
      <c r="N45" s="32">
        <v>44773</v>
      </c>
      <c r="O45" s="172"/>
      <c r="P45" s="180"/>
      <c r="Q45" s="177"/>
      <c r="R45" s="170"/>
      <c r="S45" s="170"/>
      <c r="T45" s="199">
        <f>+D12/T44</f>
        <v>1</v>
      </c>
      <c r="U45" s="201">
        <f>+SUM(U46:U58)</f>
        <v>288077362.52802002</v>
      </c>
      <c r="V45" s="51"/>
      <c r="W45" s="3"/>
      <c r="X45" s="144"/>
      <c r="Y45" s="3"/>
      <c r="AC45" s="12"/>
    </row>
    <row r="46" spans="1:30" x14ac:dyDescent="0.2">
      <c r="B46" s="73">
        <v>44854</v>
      </c>
      <c r="C46" s="78">
        <f>+$D$15</f>
        <v>0.7</v>
      </c>
      <c r="D46" s="48">
        <f t="shared" ref="D46:D51" si="18">+E46/$H$45</f>
        <v>0.24942539999999999</v>
      </c>
      <c r="E46" s="49">
        <f t="shared" ref="E46:E51" si="19">+IF(H45&gt;0,MIN(M46-F46,H45),0)</f>
        <v>63603477</v>
      </c>
      <c r="F46" s="79">
        <f t="shared" ref="F46:F51" si="20">+MIN($M46,Q45+P46)</f>
        <v>44625000</v>
      </c>
      <c r="G46" s="108">
        <f t="shared" ref="G46:G51" si="21">+E46+F46</f>
        <v>108228477</v>
      </c>
      <c r="H46" s="108">
        <f t="shared" ref="H46:H51" si="22">+H45-E46</f>
        <v>191396523</v>
      </c>
      <c r="I46" s="187"/>
      <c r="J46" s="6"/>
      <c r="K46" s="5"/>
      <c r="L46" s="38">
        <f t="shared" ref="L46:L52" si="23">+B46</f>
        <v>44854</v>
      </c>
      <c r="M46" s="200">
        <f>+T46</f>
        <v>108228477</v>
      </c>
      <c r="N46" s="39">
        <v>44865</v>
      </c>
      <c r="O46" s="174">
        <v>90</v>
      </c>
      <c r="P46" s="40">
        <f t="shared" ref="P46:P54" si="24">+H45*(C46)/360*O46</f>
        <v>44625000</v>
      </c>
      <c r="Q46" s="241">
        <f>+Q45+P46-F46</f>
        <v>0</v>
      </c>
      <c r="R46" s="243"/>
      <c r="S46" s="170"/>
      <c r="T46" s="240">
        <v>108228477</v>
      </c>
      <c r="U46" s="197">
        <f t="shared" ref="U46:U58" si="25">+G46/(1+$G$12)^((B46-$B$45)/365)</f>
        <v>105250007.76574996</v>
      </c>
      <c r="V46" s="51"/>
      <c r="W46" s="3"/>
      <c r="X46" s="144"/>
      <c r="Y46" s="3"/>
      <c r="AC46" s="12"/>
    </row>
    <row r="47" spans="1:30" x14ac:dyDescent="0.2">
      <c r="B47" s="73">
        <v>44887</v>
      </c>
      <c r="C47" s="78">
        <f t="shared" ref="C47:C58" si="26">+$D$15</f>
        <v>0.7</v>
      </c>
      <c r="D47" s="48">
        <f t="shared" si="18"/>
        <v>7.8736038529411773E-2</v>
      </c>
      <c r="E47" s="49">
        <f t="shared" si="19"/>
        <v>20077689.825000003</v>
      </c>
      <c r="F47" s="79">
        <f t="shared" si="20"/>
        <v>11164797.174999999</v>
      </c>
      <c r="G47" s="76">
        <f t="shared" si="21"/>
        <v>31242487</v>
      </c>
      <c r="H47" s="76">
        <f t="shared" si="22"/>
        <v>171318833.17500001</v>
      </c>
      <c r="I47" s="187"/>
      <c r="J47" s="6"/>
      <c r="K47" s="5"/>
      <c r="L47" s="38">
        <f t="shared" si="23"/>
        <v>44887</v>
      </c>
      <c r="M47" s="200">
        <f t="shared" ref="M47:M54" si="27">+T47</f>
        <v>31242487</v>
      </c>
      <c r="N47" s="39">
        <v>44895</v>
      </c>
      <c r="O47" s="174">
        <f t="shared" ref="O47:O58" si="28">+N47-N46</f>
        <v>30</v>
      </c>
      <c r="P47" s="40">
        <f t="shared" si="24"/>
        <v>11164797.174999999</v>
      </c>
      <c r="Q47" s="241">
        <f t="shared" ref="Q47:Q54" si="29">+Q46+P47-F47</f>
        <v>0</v>
      </c>
      <c r="R47" s="243"/>
      <c r="S47" s="170"/>
      <c r="T47" s="240">
        <v>31242487</v>
      </c>
      <c r="U47" s="197">
        <f t="shared" si="25"/>
        <v>28448475.959939681</v>
      </c>
      <c r="V47" s="51"/>
      <c r="W47" s="3"/>
      <c r="X47" s="144"/>
      <c r="Y47" s="3"/>
      <c r="AC47" s="12"/>
    </row>
    <row r="48" spans="1:30" x14ac:dyDescent="0.2">
      <c r="B48" s="73">
        <v>44915</v>
      </c>
      <c r="C48" s="78">
        <f t="shared" si="26"/>
        <v>0.7</v>
      </c>
      <c r="D48" s="48">
        <f t="shared" si="18"/>
        <v>8.0393770188725497E-2</v>
      </c>
      <c r="E48" s="49">
        <f t="shared" si="19"/>
        <v>20500411.398125</v>
      </c>
      <c r="F48" s="79">
        <f t="shared" si="20"/>
        <v>9993598.6018749997</v>
      </c>
      <c r="G48" s="76">
        <f t="shared" si="21"/>
        <v>30494010</v>
      </c>
      <c r="H48" s="76">
        <f t="shared" si="22"/>
        <v>150818421.77687502</v>
      </c>
      <c r="I48" s="187"/>
      <c r="J48" s="6"/>
      <c r="K48" s="5"/>
      <c r="L48" s="38">
        <f t="shared" si="23"/>
        <v>44915</v>
      </c>
      <c r="M48" s="200">
        <f t="shared" si="27"/>
        <v>30494010</v>
      </c>
      <c r="N48" s="39">
        <v>44926</v>
      </c>
      <c r="O48" s="174">
        <v>30</v>
      </c>
      <c r="P48" s="40">
        <f t="shared" si="24"/>
        <v>9993598.6018749997</v>
      </c>
      <c r="Q48" s="241">
        <f t="shared" si="29"/>
        <v>0</v>
      </c>
      <c r="R48" s="243"/>
      <c r="S48" s="170"/>
      <c r="T48" s="240">
        <v>30494010</v>
      </c>
      <c r="U48" s="197">
        <f t="shared" si="25"/>
        <v>26259661.585406572</v>
      </c>
      <c r="V48" s="51"/>
      <c r="W48" s="3"/>
      <c r="X48" s="144"/>
      <c r="Y48" s="3"/>
      <c r="AC48" s="12"/>
    </row>
    <row r="49" spans="2:29" x14ac:dyDescent="0.2">
      <c r="B49" s="73">
        <v>44946</v>
      </c>
      <c r="C49" s="78">
        <f t="shared" si="26"/>
        <v>0.7</v>
      </c>
      <c r="D49" s="48">
        <f t="shared" si="18"/>
        <v>8.2847583253656057E-2</v>
      </c>
      <c r="E49" s="49">
        <f t="shared" si="19"/>
        <v>21126133.729682293</v>
      </c>
      <c r="F49" s="79">
        <f t="shared" si="20"/>
        <v>8797741.2703177072</v>
      </c>
      <c r="G49" s="76">
        <f t="shared" si="21"/>
        <v>29923875</v>
      </c>
      <c r="H49" s="76">
        <f t="shared" si="22"/>
        <v>129692288.04719272</v>
      </c>
      <c r="I49" s="187"/>
      <c r="J49" s="6"/>
      <c r="K49" s="5"/>
      <c r="L49" s="38">
        <f t="shared" si="23"/>
        <v>44946</v>
      </c>
      <c r="M49" s="200">
        <f t="shared" si="27"/>
        <v>29923875</v>
      </c>
      <c r="N49" s="39">
        <v>44957</v>
      </c>
      <c r="O49" s="174">
        <v>30</v>
      </c>
      <c r="P49" s="40">
        <f t="shared" si="24"/>
        <v>8797741.2703177072</v>
      </c>
      <c r="Q49" s="241">
        <f t="shared" si="29"/>
        <v>0</v>
      </c>
      <c r="R49" s="243"/>
      <c r="S49" s="170"/>
      <c r="T49" s="240">
        <v>29923875</v>
      </c>
      <c r="U49" s="197">
        <f t="shared" si="25"/>
        <v>24224598.117532004</v>
      </c>
      <c r="V49" s="51"/>
      <c r="W49" s="3"/>
      <c r="X49" s="144"/>
      <c r="Y49" s="3"/>
      <c r="AC49" s="12"/>
    </row>
    <row r="50" spans="2:29" x14ac:dyDescent="0.2">
      <c r="B50" s="73">
        <v>44977</v>
      </c>
      <c r="C50" s="78">
        <f t="shared" si="26"/>
        <v>0.7</v>
      </c>
      <c r="D50" s="48">
        <f t="shared" si="18"/>
        <v>9.1058551100315382E-2</v>
      </c>
      <c r="E50" s="49">
        <f t="shared" si="19"/>
        <v>23219930.530580424</v>
      </c>
      <c r="F50" s="79">
        <f t="shared" si="20"/>
        <v>7565383.4694195744</v>
      </c>
      <c r="G50" s="76">
        <f t="shared" si="21"/>
        <v>30785314</v>
      </c>
      <c r="H50" s="76">
        <f t="shared" si="22"/>
        <v>106472357.51661229</v>
      </c>
      <c r="I50" s="187"/>
      <c r="J50" s="6"/>
      <c r="K50" s="5"/>
      <c r="L50" s="38">
        <f t="shared" si="23"/>
        <v>44977</v>
      </c>
      <c r="M50" s="200">
        <f t="shared" si="27"/>
        <v>30785314</v>
      </c>
      <c r="N50" s="39">
        <v>44985</v>
      </c>
      <c r="O50" s="174">
        <v>30</v>
      </c>
      <c r="P50" s="40">
        <f t="shared" si="24"/>
        <v>7565383.4694195744</v>
      </c>
      <c r="Q50" s="241">
        <f t="shared" si="29"/>
        <v>0</v>
      </c>
      <c r="R50" s="243"/>
      <c r="S50" s="170"/>
      <c r="T50" s="240">
        <v>30785314</v>
      </c>
      <c r="U50" s="197">
        <f t="shared" si="25"/>
        <v>23428608.705893956</v>
      </c>
      <c r="V50" s="4"/>
      <c r="W50" s="3"/>
      <c r="X50" s="144"/>
      <c r="Y50" s="3"/>
      <c r="AC50" s="12"/>
    </row>
    <row r="51" spans="2:29" x14ac:dyDescent="0.2">
      <c r="B51" s="73">
        <v>45005</v>
      </c>
      <c r="C51" s="78">
        <f t="shared" si="26"/>
        <v>0.7</v>
      </c>
      <c r="D51" s="48">
        <f t="shared" si="18"/>
        <v>9.001378618901025E-2</v>
      </c>
      <c r="E51" s="49">
        <f t="shared" si="19"/>
        <v>22953515.478197616</v>
      </c>
      <c r="F51" s="79">
        <f t="shared" si="20"/>
        <v>6210887.5218023835</v>
      </c>
      <c r="G51" s="76">
        <f t="shared" si="21"/>
        <v>29164403</v>
      </c>
      <c r="H51" s="76">
        <f t="shared" si="22"/>
        <v>83518842.038414672</v>
      </c>
      <c r="I51" s="187"/>
      <c r="J51" s="6"/>
      <c r="K51" s="5"/>
      <c r="L51" s="38">
        <f t="shared" si="23"/>
        <v>45005</v>
      </c>
      <c r="M51" s="200">
        <f t="shared" si="27"/>
        <v>29164403</v>
      </c>
      <c r="N51" s="39">
        <v>45016</v>
      </c>
      <c r="O51" s="174">
        <v>30</v>
      </c>
      <c r="P51" s="40">
        <f t="shared" si="24"/>
        <v>6210887.5218023835</v>
      </c>
      <c r="Q51" s="241">
        <f t="shared" si="29"/>
        <v>0</v>
      </c>
      <c r="R51" s="243"/>
      <c r="S51" s="170"/>
      <c r="T51" s="240">
        <v>29164403</v>
      </c>
      <c r="U51" s="197">
        <f t="shared" si="25"/>
        <v>20990229.217424627</v>
      </c>
      <c r="V51" s="4"/>
      <c r="W51" s="3"/>
      <c r="X51" s="144"/>
      <c r="Y51" s="3"/>
      <c r="AC51" s="12"/>
    </row>
    <row r="52" spans="2:29" x14ac:dyDescent="0.2">
      <c r="B52" s="73">
        <v>45036</v>
      </c>
      <c r="C52" s="78">
        <f t="shared" si="26"/>
        <v>0.7</v>
      </c>
      <c r="D52" s="48">
        <f t="shared" ref="D52:D58" si="30">+E52/$H$45</f>
        <v>9.0100657050035865E-2</v>
      </c>
      <c r="E52" s="49">
        <f t="shared" ref="E52:E58" si="31">+IF(H51&gt;0,MIN(M52-F52,H51),0)</f>
        <v>22975667.547759145</v>
      </c>
      <c r="F52" s="79">
        <f t="shared" ref="F52:F58" si="32">+MIN($M52,Q51+P52)</f>
        <v>4871932.4522408564</v>
      </c>
      <c r="G52" s="76">
        <f t="shared" ref="G52:G58" si="33">+E52+F52</f>
        <v>27847600</v>
      </c>
      <c r="H52" s="76">
        <f t="shared" ref="H52:H58" si="34">+H51-E52</f>
        <v>60543174.490655527</v>
      </c>
      <c r="I52" s="187"/>
      <c r="J52" s="6"/>
      <c r="K52" s="5"/>
      <c r="L52" s="38">
        <f t="shared" si="23"/>
        <v>45036</v>
      </c>
      <c r="M52" s="200">
        <f t="shared" si="27"/>
        <v>27847600</v>
      </c>
      <c r="N52" s="39">
        <v>45046</v>
      </c>
      <c r="O52" s="247">
        <f t="shared" si="28"/>
        <v>30</v>
      </c>
      <c r="P52" s="40">
        <f t="shared" si="24"/>
        <v>4871932.4522408564</v>
      </c>
      <c r="Q52" s="241">
        <f t="shared" si="29"/>
        <v>0</v>
      </c>
      <c r="R52" s="243"/>
      <c r="S52" s="170"/>
      <c r="T52" s="240">
        <v>27847600</v>
      </c>
      <c r="U52" s="197">
        <f t="shared" si="25"/>
        <v>18841523.87625565</v>
      </c>
      <c r="V52" s="4"/>
      <c r="W52" s="3"/>
      <c r="X52" s="144"/>
      <c r="Y52" s="3"/>
      <c r="AC52" s="12"/>
    </row>
    <row r="53" spans="2:29" x14ac:dyDescent="0.2">
      <c r="B53" s="73">
        <v>45068</v>
      </c>
      <c r="C53" s="78">
        <f t="shared" si="26"/>
        <v>0.7</v>
      </c>
      <c r="D53" s="48">
        <f t="shared" si="30"/>
        <v>0.10487032478971933</v>
      </c>
      <c r="E53" s="49">
        <f t="shared" si="31"/>
        <v>26741932.821378428</v>
      </c>
      <c r="F53" s="79">
        <f t="shared" si="32"/>
        <v>3531685.178621572</v>
      </c>
      <c r="G53" s="76">
        <f t="shared" si="33"/>
        <v>30273618</v>
      </c>
      <c r="H53" s="76">
        <f t="shared" si="34"/>
        <v>33801241.669277102</v>
      </c>
      <c r="I53" s="187"/>
      <c r="J53" s="6"/>
      <c r="K53" s="5"/>
      <c r="L53" s="38">
        <f t="shared" ref="L53:L58" si="35">+B53</f>
        <v>45068</v>
      </c>
      <c r="M53" s="200">
        <f t="shared" si="27"/>
        <v>30273618</v>
      </c>
      <c r="N53" s="39">
        <v>45077</v>
      </c>
      <c r="O53" s="247">
        <v>30</v>
      </c>
      <c r="P53" s="40">
        <f t="shared" si="24"/>
        <v>3531685.178621572</v>
      </c>
      <c r="Q53" s="241">
        <f t="shared" si="29"/>
        <v>0</v>
      </c>
      <c r="R53" s="243"/>
      <c r="S53" s="170"/>
      <c r="T53" s="240">
        <v>30273618</v>
      </c>
      <c r="U53" s="197">
        <f t="shared" si="25"/>
        <v>19217242.465416305</v>
      </c>
      <c r="V53" s="4"/>
      <c r="W53" s="3"/>
      <c r="X53" s="144"/>
      <c r="Y53" s="3"/>
      <c r="AC53" s="12"/>
    </row>
    <row r="54" spans="2:29" x14ac:dyDescent="0.2">
      <c r="B54" s="73">
        <v>45097</v>
      </c>
      <c r="C54" s="78">
        <f t="shared" si="26"/>
        <v>0.7</v>
      </c>
      <c r="D54" s="48">
        <f t="shared" si="30"/>
        <v>9.9366823147550978E-2</v>
      </c>
      <c r="E54" s="49">
        <f t="shared" si="31"/>
        <v>25338539.902625501</v>
      </c>
      <c r="F54" s="79">
        <f t="shared" si="32"/>
        <v>1971739.0973744979</v>
      </c>
      <c r="G54" s="76">
        <f t="shared" si="33"/>
        <v>27310279</v>
      </c>
      <c r="H54" s="76">
        <f t="shared" si="34"/>
        <v>8462701.7666516006</v>
      </c>
      <c r="I54" s="187"/>
      <c r="J54" s="6"/>
      <c r="K54" s="5"/>
      <c r="L54" s="38">
        <f t="shared" si="35"/>
        <v>45097</v>
      </c>
      <c r="M54" s="200">
        <f t="shared" si="27"/>
        <v>27310279</v>
      </c>
      <c r="N54" s="39">
        <v>45107</v>
      </c>
      <c r="O54" s="247">
        <f t="shared" si="28"/>
        <v>30</v>
      </c>
      <c r="P54" s="40">
        <f t="shared" si="24"/>
        <v>1971739.0973744979</v>
      </c>
      <c r="Q54" s="241">
        <f t="shared" si="29"/>
        <v>0</v>
      </c>
      <c r="R54" s="243"/>
      <c r="S54" s="170"/>
      <c r="T54" s="240">
        <v>27310279</v>
      </c>
      <c r="U54" s="197">
        <f t="shared" si="25"/>
        <v>16362452.047441645</v>
      </c>
      <c r="V54" s="4"/>
      <c r="W54" s="3"/>
      <c r="X54" s="144"/>
      <c r="Y54" s="3"/>
      <c r="AC54" s="12"/>
    </row>
    <row r="55" spans="2:29" x14ac:dyDescent="0.2">
      <c r="B55" s="73">
        <v>45127</v>
      </c>
      <c r="C55" s="78">
        <f t="shared" si="26"/>
        <v>0.7</v>
      </c>
      <c r="D55" s="48">
        <f t="shared" si="30"/>
        <v>3.3187065751574901E-2</v>
      </c>
      <c r="E55" s="49">
        <f t="shared" si="31"/>
        <v>8462701.7666516006</v>
      </c>
      <c r="F55" s="79">
        <f t="shared" si="32"/>
        <v>493657.60305467667</v>
      </c>
      <c r="G55" s="76">
        <f t="shared" si="33"/>
        <v>8956359.3697062768</v>
      </c>
      <c r="H55" s="76">
        <f t="shared" si="34"/>
        <v>0</v>
      </c>
      <c r="I55" s="187"/>
      <c r="J55" s="6"/>
      <c r="K55" s="5"/>
      <c r="L55" s="38">
        <f t="shared" si="35"/>
        <v>45127</v>
      </c>
      <c r="M55" s="200">
        <f>+T55</f>
        <v>25124033</v>
      </c>
      <c r="N55" s="39">
        <v>44773</v>
      </c>
      <c r="O55" s="247">
        <v>30</v>
      </c>
      <c r="P55" s="40">
        <f>+H54*(C55)/360*O55</f>
        <v>493657.60305467667</v>
      </c>
      <c r="Q55" s="241">
        <f>+Q54+P55-F55</f>
        <v>0</v>
      </c>
      <c r="R55" s="243"/>
      <c r="S55" s="170"/>
      <c r="T55" s="240">
        <v>25124033</v>
      </c>
      <c r="U55" s="197">
        <f t="shared" si="25"/>
        <v>5054562.786959596</v>
      </c>
      <c r="V55" s="4"/>
      <c r="W55" s="3"/>
      <c r="X55" s="144"/>
      <c r="Y55" s="3"/>
      <c r="AC55" s="12"/>
    </row>
    <row r="56" spans="2:29" x14ac:dyDescent="0.2">
      <c r="B56" s="73">
        <v>45159</v>
      </c>
      <c r="C56" s="78">
        <f t="shared" si="26"/>
        <v>0.7</v>
      </c>
      <c r="D56" s="48">
        <f t="shared" si="30"/>
        <v>0</v>
      </c>
      <c r="E56" s="49">
        <f t="shared" si="31"/>
        <v>0</v>
      </c>
      <c r="F56" s="79">
        <f t="shared" si="32"/>
        <v>0</v>
      </c>
      <c r="G56" s="76">
        <f t="shared" si="33"/>
        <v>0</v>
      </c>
      <c r="H56" s="76">
        <f t="shared" si="34"/>
        <v>0</v>
      </c>
      <c r="I56" s="187"/>
      <c r="J56" s="6"/>
      <c r="K56" s="5"/>
      <c r="L56" s="38">
        <f t="shared" si="35"/>
        <v>45159</v>
      </c>
      <c r="M56" s="200">
        <f>+T56</f>
        <v>25029529</v>
      </c>
      <c r="N56" s="39">
        <v>44804</v>
      </c>
      <c r="O56" s="247">
        <f t="shared" si="28"/>
        <v>31</v>
      </c>
      <c r="P56" s="40">
        <f>+H55*(C56)/360*O56</f>
        <v>0</v>
      </c>
      <c r="Q56" s="241">
        <f>+Q55+P56-F56</f>
        <v>0</v>
      </c>
      <c r="R56" s="243"/>
      <c r="S56" s="170"/>
      <c r="T56" s="240">
        <v>25029529</v>
      </c>
      <c r="U56" s="197">
        <f t="shared" si="25"/>
        <v>0</v>
      </c>
      <c r="V56" s="4"/>
      <c r="W56" s="3"/>
      <c r="X56" s="144"/>
      <c r="Y56" s="3"/>
      <c r="AC56" s="12"/>
    </row>
    <row r="57" spans="2:29" x14ac:dyDescent="0.2">
      <c r="B57" s="73">
        <v>45189</v>
      </c>
      <c r="C57" s="78">
        <f t="shared" si="26"/>
        <v>0.7</v>
      </c>
      <c r="D57" s="48">
        <f t="shared" si="30"/>
        <v>0</v>
      </c>
      <c r="E57" s="49">
        <f t="shared" si="31"/>
        <v>0</v>
      </c>
      <c r="F57" s="79">
        <f t="shared" si="32"/>
        <v>0</v>
      </c>
      <c r="G57" s="76">
        <f t="shared" si="33"/>
        <v>0</v>
      </c>
      <c r="H57" s="76">
        <f t="shared" si="34"/>
        <v>0</v>
      </c>
      <c r="I57" s="187"/>
      <c r="J57" s="6"/>
      <c r="K57" s="5"/>
      <c r="L57" s="38">
        <f t="shared" si="35"/>
        <v>45189</v>
      </c>
      <c r="M57" s="200">
        <f>+T57</f>
        <v>20291523</v>
      </c>
      <c r="N57" s="39">
        <v>44834</v>
      </c>
      <c r="O57" s="247">
        <f t="shared" si="28"/>
        <v>30</v>
      </c>
      <c r="P57" s="40">
        <f>+H56*(C57)/360*O57</f>
        <v>0</v>
      </c>
      <c r="Q57" s="241">
        <f>+Q56+P57-F57</f>
        <v>0</v>
      </c>
      <c r="R57" s="243"/>
      <c r="S57" s="170"/>
      <c r="T57" s="240">
        <v>20291523</v>
      </c>
      <c r="U57" s="197">
        <f t="shared" si="25"/>
        <v>0</v>
      </c>
      <c r="V57" s="4"/>
      <c r="W57" s="3"/>
      <c r="X57" s="144"/>
      <c r="Y57" s="3"/>
      <c r="AC57" s="12"/>
    </row>
    <row r="58" spans="2:29" x14ac:dyDescent="0.2">
      <c r="B58" s="73">
        <v>45219</v>
      </c>
      <c r="C58" s="78">
        <f t="shared" si="26"/>
        <v>0.7</v>
      </c>
      <c r="D58" s="48">
        <f t="shared" si="30"/>
        <v>0</v>
      </c>
      <c r="E58" s="49">
        <f t="shared" si="31"/>
        <v>0</v>
      </c>
      <c r="F58" s="79">
        <f t="shared" si="32"/>
        <v>0</v>
      </c>
      <c r="G58" s="76">
        <f t="shared" si="33"/>
        <v>0</v>
      </c>
      <c r="H58" s="76">
        <f t="shared" si="34"/>
        <v>0</v>
      </c>
      <c r="I58" s="187"/>
      <c r="J58" s="6"/>
      <c r="K58" s="5"/>
      <c r="L58" s="42">
        <f t="shared" si="35"/>
        <v>45219</v>
      </c>
      <c r="M58" s="182">
        <f>+T58</f>
        <v>18712794</v>
      </c>
      <c r="N58" s="43">
        <v>44865</v>
      </c>
      <c r="O58" s="248">
        <f t="shared" si="28"/>
        <v>31</v>
      </c>
      <c r="P58" s="44">
        <f>+H57*(C58)/360*O58</f>
        <v>0</v>
      </c>
      <c r="Q58" s="242">
        <f>+Q57+P58-F58</f>
        <v>0</v>
      </c>
      <c r="R58" s="243"/>
      <c r="S58" s="170"/>
      <c r="T58" s="240">
        <v>18712794</v>
      </c>
      <c r="U58" s="197">
        <f t="shared" si="25"/>
        <v>0</v>
      </c>
      <c r="V58" s="4"/>
      <c r="W58" s="3"/>
      <c r="X58" s="144"/>
      <c r="Y58" s="3"/>
      <c r="AC58" s="12"/>
    </row>
    <row r="59" spans="2:29" x14ac:dyDescent="0.2">
      <c r="B59" s="67"/>
      <c r="C59" s="68"/>
      <c r="D59" s="125">
        <f>SUM(D46:D58)</f>
        <v>1</v>
      </c>
      <c r="E59" s="70">
        <f>SUM(E46:E58)</f>
        <v>255000000.00000003</v>
      </c>
      <c r="F59" s="71">
        <f>SUM(F46:F58)</f>
        <v>99226422.369706258</v>
      </c>
      <c r="G59" s="70">
        <f>+E59+F59</f>
        <v>354226422.36970627</v>
      </c>
      <c r="H59" s="72"/>
      <c r="I59" s="246"/>
      <c r="J59" s="6"/>
      <c r="K59" s="6"/>
      <c r="L59" s="175"/>
      <c r="M59" s="173"/>
      <c r="N59" s="175"/>
      <c r="O59" s="174"/>
      <c r="P59" s="41"/>
      <c r="Q59" s="170"/>
      <c r="R59" s="170"/>
      <c r="S59" s="170"/>
      <c r="T59" s="240">
        <v>15912584</v>
      </c>
      <c r="U59" s="197">
        <v>0</v>
      </c>
      <c r="V59" s="4"/>
    </row>
    <row r="60" spans="2:29" x14ac:dyDescent="0.2">
      <c r="E60" s="129"/>
      <c r="F60" s="52"/>
      <c r="G60" s="52"/>
      <c r="I60" s="257"/>
      <c r="L60" s="175"/>
      <c r="M60" s="173"/>
      <c r="N60" s="196"/>
      <c r="O60" s="174"/>
      <c r="P60" s="41"/>
      <c r="Q60" s="170"/>
      <c r="R60" s="170"/>
      <c r="S60" s="170"/>
      <c r="T60" s="240">
        <v>18603235</v>
      </c>
      <c r="U60" s="197">
        <f t="shared" ref="U60:U79" si="36">+G60/(1+$G$12)^((B60-$B$45)/365)</f>
        <v>0</v>
      </c>
    </row>
    <row r="61" spans="2:29" hidden="1" x14ac:dyDescent="0.2">
      <c r="D61" s="53"/>
      <c r="E61" s="1"/>
      <c r="L61" s="4"/>
      <c r="M61" s="173"/>
      <c r="N61" s="175"/>
      <c r="O61" s="174"/>
      <c r="P61" s="41"/>
      <c r="Q61" s="170"/>
      <c r="R61" s="170"/>
      <c r="S61" s="170"/>
      <c r="T61" s="240">
        <v>16983175</v>
      </c>
      <c r="U61" s="197">
        <f t="shared" si="36"/>
        <v>0</v>
      </c>
    </row>
    <row r="62" spans="2:29" hidden="1" x14ac:dyDescent="0.2">
      <c r="L62" s="4"/>
      <c r="M62" s="4"/>
      <c r="N62" s="4"/>
      <c r="O62" s="4"/>
      <c r="P62" s="4"/>
      <c r="Q62" s="4"/>
      <c r="R62" s="4"/>
      <c r="S62" s="4"/>
      <c r="T62" s="240">
        <v>16338379</v>
      </c>
      <c r="U62" s="197">
        <f t="shared" si="36"/>
        <v>0</v>
      </c>
    </row>
    <row r="63" spans="2:29" hidden="1" x14ac:dyDescent="0.2">
      <c r="G63" s="263"/>
      <c r="L63" s="4"/>
      <c r="M63" s="4"/>
      <c r="N63" s="4"/>
      <c r="O63" s="4"/>
      <c r="P63" s="4"/>
      <c r="Q63" s="4"/>
      <c r="R63" s="4"/>
      <c r="S63" s="4"/>
      <c r="T63" s="240">
        <v>15098775</v>
      </c>
      <c r="U63" s="197">
        <f t="shared" si="36"/>
        <v>0</v>
      </c>
    </row>
    <row r="64" spans="2:29" hidden="1" x14ac:dyDescent="0.2">
      <c r="L64" s="4"/>
      <c r="M64" s="4"/>
      <c r="N64" s="4"/>
      <c r="O64" s="4"/>
      <c r="P64" s="4"/>
      <c r="Q64" s="4"/>
      <c r="R64" s="4"/>
      <c r="S64" s="4"/>
      <c r="T64" s="240">
        <v>13283155</v>
      </c>
      <c r="U64" s="197">
        <f t="shared" si="36"/>
        <v>0</v>
      </c>
    </row>
    <row r="65" spans="7:21" hidden="1" x14ac:dyDescent="0.2">
      <c r="L65" s="4"/>
      <c r="M65" s="4"/>
      <c r="N65" s="4"/>
      <c r="O65" s="4"/>
      <c r="P65" s="4"/>
      <c r="Q65" s="4"/>
      <c r="R65" s="4"/>
      <c r="S65" s="4"/>
      <c r="T65" s="240">
        <v>11551364</v>
      </c>
      <c r="U65" s="197">
        <f t="shared" si="36"/>
        <v>0</v>
      </c>
    </row>
    <row r="66" spans="7:21" hidden="1" x14ac:dyDescent="0.2">
      <c r="L66" s="4"/>
      <c r="M66" s="4"/>
      <c r="N66" s="4"/>
      <c r="O66" s="4"/>
      <c r="P66" s="4"/>
      <c r="Q66" s="4"/>
      <c r="R66" s="4"/>
      <c r="S66" s="4"/>
      <c r="T66" s="240">
        <v>10105434</v>
      </c>
      <c r="U66" s="197">
        <f t="shared" si="36"/>
        <v>0</v>
      </c>
    </row>
    <row r="67" spans="7:21" hidden="1" x14ac:dyDescent="0.2">
      <c r="L67" s="4"/>
      <c r="M67" s="4"/>
      <c r="N67" s="4"/>
      <c r="O67" s="4"/>
      <c r="P67" s="4"/>
      <c r="Q67" s="4"/>
      <c r="R67" s="4"/>
      <c r="S67" s="4"/>
      <c r="T67" s="240">
        <v>8790796</v>
      </c>
      <c r="U67" s="197">
        <f t="shared" si="36"/>
        <v>0</v>
      </c>
    </row>
    <row r="68" spans="7:21" hidden="1" x14ac:dyDescent="0.2">
      <c r="L68" s="4"/>
      <c r="M68" s="4"/>
      <c r="N68" s="4"/>
      <c r="O68" s="4"/>
      <c r="P68" s="4"/>
      <c r="Q68" s="4"/>
      <c r="R68" s="4"/>
      <c r="S68" s="4"/>
      <c r="T68" s="240">
        <v>8312429</v>
      </c>
      <c r="U68" s="197">
        <f t="shared" si="36"/>
        <v>0</v>
      </c>
    </row>
    <row r="69" spans="7:21" hidden="1" x14ac:dyDescent="0.2">
      <c r="L69" s="4"/>
      <c r="M69" s="4"/>
      <c r="N69" s="198"/>
      <c r="O69" s="4"/>
      <c r="P69" s="4"/>
      <c r="Q69" s="4"/>
      <c r="R69" s="4"/>
      <c r="S69" s="4"/>
      <c r="T69" s="240">
        <v>7269267</v>
      </c>
      <c r="U69" s="197">
        <f t="shared" si="36"/>
        <v>0</v>
      </c>
    </row>
    <row r="70" spans="7:21" hidden="1" x14ac:dyDescent="0.2">
      <c r="L70" s="4"/>
      <c r="M70" s="196"/>
      <c r="N70" s="196"/>
      <c r="O70" s="4"/>
      <c r="P70" s="4"/>
      <c r="Q70" s="4"/>
      <c r="R70" s="4"/>
      <c r="S70" s="4"/>
      <c r="T70" s="240">
        <v>6221825</v>
      </c>
      <c r="U70" s="197">
        <f t="shared" si="36"/>
        <v>0</v>
      </c>
    </row>
    <row r="71" spans="7:21" hidden="1" x14ac:dyDescent="0.2">
      <c r="M71" s="197"/>
      <c r="N71" s="196"/>
      <c r="T71" s="240">
        <v>5385499</v>
      </c>
      <c r="U71" s="197">
        <f t="shared" si="36"/>
        <v>0</v>
      </c>
    </row>
    <row r="72" spans="7:21" hidden="1" x14ac:dyDescent="0.2">
      <c r="M72" s="197"/>
      <c r="N72" s="196"/>
      <c r="T72" s="240">
        <v>4647079</v>
      </c>
      <c r="U72" s="197">
        <f t="shared" si="36"/>
        <v>0</v>
      </c>
    </row>
    <row r="73" spans="7:21" hidden="1" x14ac:dyDescent="0.2">
      <c r="M73" s="197"/>
      <c r="N73" s="196"/>
      <c r="T73" s="240">
        <v>3651506</v>
      </c>
      <c r="U73" s="197">
        <f t="shared" si="36"/>
        <v>0</v>
      </c>
    </row>
    <row r="74" spans="7:21" hidden="1" x14ac:dyDescent="0.2">
      <c r="M74" s="197"/>
      <c r="N74" s="196"/>
      <c r="T74" s="240">
        <v>2520795</v>
      </c>
      <c r="U74" s="197">
        <f t="shared" si="36"/>
        <v>0</v>
      </c>
    </row>
    <row r="75" spans="7:21" hidden="1" x14ac:dyDescent="0.2">
      <c r="G75" s="264"/>
      <c r="M75" s="197"/>
      <c r="N75" s="196"/>
      <c r="T75" s="240">
        <v>1539918</v>
      </c>
      <c r="U75" s="197">
        <f t="shared" si="36"/>
        <v>0</v>
      </c>
    </row>
    <row r="76" spans="7:21" hidden="1" x14ac:dyDescent="0.2">
      <c r="M76" s="197"/>
      <c r="N76" s="196"/>
      <c r="T76" s="240">
        <v>180601</v>
      </c>
      <c r="U76" s="197">
        <f t="shared" si="36"/>
        <v>0</v>
      </c>
    </row>
    <row r="77" spans="7:21" hidden="1" x14ac:dyDescent="0.2">
      <c r="M77" s="197"/>
      <c r="N77" s="196"/>
      <c r="T77" s="240">
        <v>292497</v>
      </c>
      <c r="U77" s="197">
        <f t="shared" si="36"/>
        <v>0</v>
      </c>
    </row>
    <row r="78" spans="7:21" hidden="1" x14ac:dyDescent="0.2">
      <c r="M78" s="197"/>
      <c r="N78" s="196"/>
      <c r="T78" s="240">
        <v>5856</v>
      </c>
      <c r="U78" s="197">
        <f t="shared" si="36"/>
        <v>0</v>
      </c>
    </row>
    <row r="79" spans="7:21" hidden="1" x14ac:dyDescent="0.2">
      <c r="M79" s="197"/>
      <c r="N79" s="196"/>
      <c r="T79" s="240">
        <v>7693</v>
      </c>
      <c r="U79" s="197">
        <f t="shared" si="36"/>
        <v>0</v>
      </c>
    </row>
    <row r="80" spans="7:21" hidden="1" x14ac:dyDescent="0.2">
      <c r="M80" s="197"/>
      <c r="N80" s="196"/>
    </row>
    <row r="81" spans="4:14" hidden="1" x14ac:dyDescent="0.2">
      <c r="M81" s="197"/>
      <c r="N81" s="196"/>
    </row>
    <row r="82" spans="4:14" hidden="1" x14ac:dyDescent="0.2">
      <c r="M82" s="197"/>
      <c r="N82" s="196"/>
    </row>
    <row r="83" spans="4:14" hidden="1" x14ac:dyDescent="0.2">
      <c r="E83" s="189"/>
    </row>
    <row r="84" spans="4:14" hidden="1" x14ac:dyDescent="0.2">
      <c r="E84" s="189"/>
    </row>
    <row r="85" spans="4:14" hidden="1" x14ac:dyDescent="0.2">
      <c r="D85" s="9"/>
      <c r="E85" s="255"/>
      <c r="F85" s="9"/>
    </row>
    <row r="86" spans="4:14" hidden="1" x14ac:dyDescent="0.2">
      <c r="D86" s="9"/>
      <c r="E86" s="255"/>
      <c r="F86" s="9"/>
    </row>
    <row r="87" spans="4:14" hidden="1" x14ac:dyDescent="0.2">
      <c r="D87" s="9"/>
      <c r="E87" s="255"/>
      <c r="F87" s="9"/>
    </row>
    <row r="88" spans="4:14" hidden="1" x14ac:dyDescent="0.2">
      <c r="D88" s="9"/>
      <c r="E88" s="255"/>
      <c r="F88" s="9"/>
    </row>
    <row r="89" spans="4:14" hidden="1" x14ac:dyDescent="0.2">
      <c r="D89" s="9"/>
      <c r="E89" s="255"/>
      <c r="F89" s="9"/>
    </row>
    <row r="90" spans="4:14" hidden="1" x14ac:dyDescent="0.2">
      <c r="D90" s="9"/>
      <c r="E90" s="255"/>
      <c r="F90" s="9"/>
    </row>
    <row r="91" spans="4:14" hidden="1" x14ac:dyDescent="0.2">
      <c r="D91" s="22"/>
      <c r="E91" s="256"/>
      <c r="F91" s="9"/>
    </row>
    <row r="92" spans="4:14" hidden="1" x14ac:dyDescent="0.2">
      <c r="D92" s="9"/>
      <c r="E92" s="255"/>
      <c r="F92" s="9"/>
    </row>
    <row r="93" spans="4:14" hidden="1" x14ac:dyDescent="0.2">
      <c r="D93" s="9"/>
      <c r="E93" s="256"/>
      <c r="F93" s="9"/>
    </row>
    <row r="94" spans="4:14" hidden="1" x14ac:dyDescent="0.2">
      <c r="D94" s="9"/>
      <c r="E94" s="255"/>
      <c r="F94" s="9"/>
    </row>
  </sheetData>
  <sheetProtection password="C72E" sheet="1"/>
  <mergeCells count="10">
    <mergeCell ref="B9:E10"/>
    <mergeCell ref="B43:H43"/>
    <mergeCell ref="B42:H42"/>
    <mergeCell ref="A6:J6"/>
    <mergeCell ref="L1:O1"/>
    <mergeCell ref="B21:I21"/>
    <mergeCell ref="N43:Q43"/>
    <mergeCell ref="B8:E8"/>
    <mergeCell ref="N21:R21"/>
    <mergeCell ref="B20:I20"/>
  </mergeCells>
  <phoneticPr fontId="4" type="noConversion"/>
  <conditionalFormatting sqref="E59:G59 F37:H41 E46:E58 F24:F36 O24:O36">
    <cfRule type="cellIs" dxfId="4" priority="8" stopIfTrue="1" operator="equal">
      <formula>0</formula>
    </cfRule>
  </conditionalFormatting>
  <printOptions horizontalCentered="1"/>
  <pageMargins left="0.78740157480314965" right="0.78740157480314965" top="0.77" bottom="3.937007874015748E-2" header="0" footer="0"/>
  <pageSetup paperSize="9" orientation="landscape" r:id="rId1"/>
  <headerFooter alignWithMargins="0"/>
  <ignoredErrors>
    <ignoredError sqref="C24:C36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0"/>
  <sheetViews>
    <sheetView topLeftCell="A9" workbookViewId="0">
      <selection activeCell="D38" sqref="D38"/>
    </sheetView>
  </sheetViews>
  <sheetFormatPr baseColWidth="10" defaultColWidth="0" defaultRowHeight="12.75" customHeight="1" zeroHeight="1" x14ac:dyDescent="0.2"/>
  <cols>
    <col min="1" max="1" width="12.85546875" style="2" customWidth="1"/>
    <col min="2" max="2" width="12.42578125" style="2" customWidth="1"/>
    <col min="3" max="3" width="15.140625" style="2" customWidth="1"/>
    <col min="4" max="4" width="12.28515625" style="2" bestFit="1" customWidth="1"/>
    <col min="5" max="5" width="12.7109375" style="2" customWidth="1"/>
    <col min="6" max="6" width="16.85546875" style="2" customWidth="1"/>
    <col min="7" max="7" width="14" style="2" customWidth="1"/>
    <col min="8" max="8" width="12.85546875" style="2" customWidth="1"/>
    <col min="9" max="9" width="16.42578125" style="2" bestFit="1" customWidth="1"/>
    <col min="10" max="10" width="13.85546875" style="2" customWidth="1"/>
    <col min="11" max="11" width="1.140625" style="2" customWidth="1"/>
    <col min="12" max="12" width="10.42578125" style="3" customWidth="1"/>
    <col min="13" max="13" width="16.42578125" style="3" customWidth="1"/>
    <col min="14" max="14" width="18.42578125" style="3" customWidth="1"/>
    <col min="15" max="15" width="12.7109375" style="3" customWidth="1"/>
    <col min="16" max="16" width="18" style="3" customWidth="1"/>
    <col min="17" max="19" width="16.42578125" style="3" customWidth="1"/>
    <col min="20" max="20" width="14.85546875" style="3" customWidth="1"/>
    <col min="21" max="21" width="18.42578125" style="3" customWidth="1"/>
    <col min="22" max="22" width="17.140625" style="3" customWidth="1"/>
    <col min="23" max="23" width="12.140625" style="3" customWidth="1"/>
    <col min="24" max="24" width="11.7109375" style="3" customWidth="1"/>
    <col min="25" max="25" width="13.85546875" style="144" customWidth="1"/>
    <col min="26" max="26" width="14.42578125" style="3" customWidth="1"/>
    <col min="27" max="28" width="11.7109375" style="3" customWidth="1"/>
    <col min="29" max="29" width="12.28515625" style="3" customWidth="1"/>
    <col min="30" max="30" width="12.5703125" style="12" customWidth="1"/>
    <col min="31" max="16384" width="11.42578125" style="2" hidden="1"/>
  </cols>
  <sheetData>
    <row r="1" spans="1:30" x14ac:dyDescent="0.2">
      <c r="L1" s="280"/>
      <c r="M1" s="280"/>
      <c r="N1" s="280"/>
      <c r="O1" s="280"/>
    </row>
    <row r="2" spans="1:30" x14ac:dyDescent="0.2">
      <c r="L2" s="194"/>
      <c r="M2" s="194"/>
      <c r="N2" s="194"/>
      <c r="O2" s="194"/>
    </row>
    <row r="3" spans="1:30" x14ac:dyDescent="0.2">
      <c r="L3" s="194"/>
      <c r="M3" s="194"/>
      <c r="N3" s="194"/>
      <c r="O3" s="194"/>
    </row>
    <row r="4" spans="1:30" x14ac:dyDescent="0.2">
      <c r="L4" s="194"/>
      <c r="M4" s="194"/>
      <c r="N4" s="194"/>
      <c r="O4" s="194"/>
    </row>
    <row r="5" spans="1:30" x14ac:dyDescent="0.2">
      <c r="L5" s="194"/>
      <c r="M5" s="194"/>
      <c r="N5" s="194"/>
      <c r="O5" s="194"/>
    </row>
    <row r="6" spans="1:30" ht="23.25" x14ac:dyDescent="0.35">
      <c r="A6" s="278" t="s">
        <v>41</v>
      </c>
      <c r="B6" s="286"/>
      <c r="C6" s="286"/>
      <c r="D6" s="286"/>
      <c r="E6" s="286"/>
      <c r="F6" s="286"/>
      <c r="G6" s="286"/>
      <c r="H6" s="286"/>
      <c r="I6" s="286"/>
      <c r="J6" s="286"/>
      <c r="M6" s="7"/>
    </row>
    <row r="7" spans="1:30" ht="12" customHeight="1" x14ac:dyDescent="0.35">
      <c r="A7" s="192"/>
      <c r="B7" s="203"/>
      <c r="C7" s="203"/>
      <c r="D7" s="203"/>
      <c r="E7" s="203"/>
      <c r="F7" s="203"/>
      <c r="G7" s="203"/>
      <c r="H7" s="203"/>
      <c r="I7" s="203"/>
      <c r="J7" s="203"/>
      <c r="M7" s="7"/>
    </row>
    <row r="8" spans="1:30" ht="13.5" customHeight="1" x14ac:dyDescent="0.35">
      <c r="A8" s="192"/>
      <c r="B8" s="285" t="s">
        <v>31</v>
      </c>
      <c r="C8" s="285"/>
      <c r="D8" s="285"/>
      <c r="E8" s="285"/>
      <c r="F8" s="203"/>
      <c r="G8" s="203"/>
      <c r="H8" s="203"/>
      <c r="I8" s="203"/>
      <c r="J8" s="203"/>
      <c r="M8" s="7"/>
    </row>
    <row r="9" spans="1:30" ht="23.25" customHeight="1" x14ac:dyDescent="0.35">
      <c r="A9" s="192"/>
      <c r="B9" s="270" t="s">
        <v>39</v>
      </c>
      <c r="C9" s="271"/>
      <c r="D9" s="271"/>
      <c r="E9" s="272"/>
      <c r="F9" s="203"/>
      <c r="G9" s="203"/>
      <c r="H9" s="203"/>
      <c r="I9" s="203"/>
      <c r="J9" s="203"/>
      <c r="M9" s="7"/>
    </row>
    <row r="10" spans="1:30" ht="15.75" customHeight="1" x14ac:dyDescent="0.35">
      <c r="A10" s="192"/>
      <c r="B10" s="273"/>
      <c r="C10" s="287"/>
      <c r="D10" s="287"/>
      <c r="E10" s="275"/>
      <c r="F10" s="203"/>
      <c r="G10" s="203"/>
      <c r="H10" s="203"/>
      <c r="I10" s="203"/>
      <c r="J10" s="203"/>
      <c r="M10" s="7"/>
    </row>
    <row r="11" spans="1:30" ht="15" customHeight="1" x14ac:dyDescent="0.35">
      <c r="A11" s="192"/>
      <c r="B11" s="184"/>
      <c r="C11" s="184"/>
      <c r="D11" s="184"/>
      <c r="E11" s="184"/>
      <c r="F11" s="203"/>
      <c r="G11" s="203"/>
      <c r="H11" s="203"/>
      <c r="I11" s="203"/>
      <c r="J11" s="203"/>
      <c r="M11" s="7"/>
    </row>
    <row r="12" spans="1:30" x14ac:dyDescent="0.2">
      <c r="A12" s="8"/>
      <c r="C12" s="204" t="s">
        <v>12</v>
      </c>
      <c r="D12" s="80">
        <v>255000000</v>
      </c>
      <c r="E12" s="6"/>
      <c r="F12" s="204" t="s">
        <v>13</v>
      </c>
      <c r="G12" s="81">
        <f>+'VDF A'!G12</f>
        <v>1.07</v>
      </c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205"/>
      <c r="Y12" s="12"/>
      <c r="Z12" s="12"/>
      <c r="AA12" s="12"/>
      <c r="AB12" s="12"/>
      <c r="AC12" s="12"/>
      <c r="AD12" s="2"/>
    </row>
    <row r="13" spans="1:30" x14ac:dyDescent="0.2">
      <c r="A13" s="8"/>
      <c r="C13" s="206"/>
      <c r="D13" s="163"/>
      <c r="E13" s="6"/>
      <c r="F13" s="118" t="s">
        <v>7</v>
      </c>
      <c r="G13" s="119">
        <f>+XNPV(G12,G45:G58,B45:B58)/H45</f>
        <v>1.1297151471687059</v>
      </c>
      <c r="I13" s="149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207"/>
      <c r="Y13" s="12"/>
      <c r="Z13" s="12"/>
      <c r="AA13" s="12"/>
      <c r="AB13" s="12"/>
      <c r="AC13" s="12"/>
      <c r="AD13" s="2"/>
    </row>
    <row r="14" spans="1:30" x14ac:dyDescent="0.2">
      <c r="A14" s="8"/>
      <c r="C14" s="204" t="s">
        <v>33</v>
      </c>
      <c r="D14" s="23">
        <v>0.01</v>
      </c>
      <c r="E14" s="6"/>
      <c r="F14" s="209" t="s">
        <v>10</v>
      </c>
      <c r="G14" s="83">
        <f>+U39</f>
        <v>3.2173649117470502</v>
      </c>
      <c r="H14" s="189"/>
      <c r="I14" s="150"/>
      <c r="J14" s="11"/>
      <c r="L14" s="12"/>
      <c r="M14" s="12"/>
      <c r="N14" s="12"/>
      <c r="O14" s="13" t="s">
        <v>12</v>
      </c>
      <c r="P14" s="14">
        <f>+D12</f>
        <v>255000000</v>
      </c>
      <c r="Q14" s="15"/>
      <c r="R14" s="15"/>
      <c r="S14" s="15"/>
      <c r="T14" s="15"/>
      <c r="U14" s="15"/>
      <c r="V14" s="15"/>
      <c r="W14" s="12"/>
      <c r="X14" s="207"/>
      <c r="Y14" s="45"/>
      <c r="Z14" s="12"/>
      <c r="AA14" s="12"/>
      <c r="AB14" s="12"/>
      <c r="AC14" s="12"/>
      <c r="AD14" s="2"/>
    </row>
    <row r="15" spans="1:30" x14ac:dyDescent="0.2">
      <c r="A15" s="8"/>
      <c r="C15" s="204" t="s">
        <v>16</v>
      </c>
      <c r="D15" s="23">
        <v>0.7</v>
      </c>
      <c r="E15" s="6"/>
      <c r="F15" s="204" t="s">
        <v>11</v>
      </c>
      <c r="G15" s="25">
        <f>+XIRR(H23:H36,B23:B36)</f>
        <v>1.0966476559638976</v>
      </c>
      <c r="H15" s="25"/>
      <c r="I15" s="210"/>
      <c r="L15" s="12"/>
      <c r="M15" s="12"/>
      <c r="N15" s="12"/>
      <c r="O15" s="18" t="s">
        <v>13</v>
      </c>
      <c r="P15" s="19">
        <f>+G12</f>
        <v>1.07</v>
      </c>
      <c r="Q15" s="20"/>
      <c r="R15" s="20"/>
      <c r="S15" s="20"/>
      <c r="T15" s="20"/>
      <c r="U15" s="20"/>
      <c r="V15" s="20"/>
      <c r="W15" s="12"/>
      <c r="X15" s="207"/>
      <c r="Y15" s="45"/>
      <c r="Z15" s="12"/>
      <c r="AA15" s="12"/>
      <c r="AB15" s="12"/>
      <c r="AC15" s="12"/>
      <c r="AD15" s="2"/>
    </row>
    <row r="16" spans="1:30" x14ac:dyDescent="0.2">
      <c r="A16" s="8"/>
      <c r="C16" s="204" t="s">
        <v>17</v>
      </c>
      <c r="D16" s="23">
        <v>0.8</v>
      </c>
      <c r="E16" s="6"/>
      <c r="F16" s="204" t="s">
        <v>14</v>
      </c>
      <c r="G16" s="25">
        <f>+((1+G15)^(1/12)-1)*12</f>
        <v>0.76365432509674758</v>
      </c>
      <c r="H16" s="25"/>
      <c r="I16" s="210"/>
      <c r="L16" s="12"/>
      <c r="M16" s="12"/>
      <c r="N16" s="12"/>
      <c r="O16" s="211"/>
      <c r="P16" s="211"/>
      <c r="Q16" s="211"/>
      <c r="R16" s="211"/>
      <c r="S16" s="211"/>
      <c r="T16" s="211"/>
      <c r="U16" s="211"/>
      <c r="V16" s="211"/>
      <c r="W16" s="211"/>
      <c r="X16" s="211"/>
      <c r="Y16" s="211"/>
      <c r="Z16" s="211"/>
      <c r="AA16" s="12"/>
      <c r="AB16" s="12"/>
      <c r="AC16" s="12"/>
      <c r="AD16" s="2"/>
    </row>
    <row r="17" spans="1:30" x14ac:dyDescent="0.2">
      <c r="A17" s="8"/>
      <c r="E17" s="6"/>
      <c r="F17" s="204" t="s">
        <v>15</v>
      </c>
      <c r="G17" s="25">
        <f>+(G16-D38)</f>
        <v>6.5554325096747523E-2</v>
      </c>
      <c r="H17" s="121" t="s">
        <v>34</v>
      </c>
      <c r="I17" s="210"/>
      <c r="L17" s="12"/>
      <c r="M17" s="12"/>
      <c r="N17" s="12"/>
      <c r="O17" s="212"/>
      <c r="P17" s="20"/>
      <c r="Q17" s="20"/>
      <c r="R17" s="20"/>
      <c r="S17" s="20"/>
      <c r="T17" s="20"/>
      <c r="U17" s="20"/>
      <c r="V17" s="20"/>
      <c r="W17" s="12"/>
      <c r="X17" s="207"/>
      <c r="Y17" s="45"/>
      <c r="Z17" s="12"/>
      <c r="AA17" s="12"/>
      <c r="AB17" s="12"/>
      <c r="AC17" s="12"/>
      <c r="AD17" s="2"/>
    </row>
    <row r="18" spans="1:30" x14ac:dyDescent="0.2">
      <c r="A18" s="8"/>
      <c r="C18" s="204"/>
      <c r="D18" s="208"/>
      <c r="E18" s="6"/>
      <c r="F18" s="204" t="s">
        <v>14</v>
      </c>
      <c r="G18" s="25">
        <f>+((1+G12)^(1/12)-1)*12</f>
        <v>0.75005646719760311</v>
      </c>
      <c r="H18" s="213" t="s">
        <v>19</v>
      </c>
      <c r="L18" s="12"/>
      <c r="M18" s="12"/>
      <c r="N18" s="12"/>
      <c r="O18" s="212"/>
      <c r="P18" s="20"/>
      <c r="Q18" s="20"/>
      <c r="R18" s="20"/>
      <c r="S18" s="20"/>
      <c r="T18" s="20"/>
      <c r="U18" s="20"/>
      <c r="V18" s="20"/>
      <c r="W18" s="12"/>
      <c r="X18" s="12"/>
      <c r="Y18" s="12"/>
      <c r="Z18" s="12"/>
      <c r="AA18" s="12"/>
      <c r="AB18" s="12"/>
      <c r="AC18" s="12"/>
      <c r="AD18" s="2"/>
    </row>
    <row r="19" spans="1:30" x14ac:dyDescent="0.2">
      <c r="A19" s="8"/>
      <c r="C19" s="204"/>
      <c r="D19" s="208"/>
      <c r="E19" s="6"/>
      <c r="F19" s="204"/>
      <c r="G19" s="25"/>
      <c r="H19" s="213"/>
      <c r="L19" s="12"/>
      <c r="M19" s="12"/>
      <c r="N19" s="12"/>
      <c r="O19" s="212"/>
      <c r="P19" s="20"/>
      <c r="Q19" s="20"/>
      <c r="R19" s="20"/>
      <c r="S19" s="20"/>
      <c r="T19" s="20"/>
      <c r="U19" s="20"/>
      <c r="V19" s="20"/>
      <c r="W19" s="12"/>
      <c r="X19" s="12"/>
      <c r="Y19" s="12"/>
      <c r="Z19" s="12"/>
      <c r="AA19" s="12"/>
      <c r="AB19" s="12"/>
      <c r="AC19" s="12"/>
      <c r="AD19" s="2"/>
    </row>
    <row r="20" spans="1:30" ht="15" x14ac:dyDescent="0.2">
      <c r="A20" s="8"/>
      <c r="B20" s="277" t="s">
        <v>37</v>
      </c>
      <c r="C20" s="277"/>
      <c r="D20" s="277"/>
      <c r="E20" s="277"/>
      <c r="F20" s="277"/>
      <c r="G20" s="277"/>
      <c r="H20" s="277"/>
      <c r="I20" s="277"/>
      <c r="V20" s="131"/>
      <c r="W20" s="12"/>
      <c r="X20" s="12"/>
      <c r="Y20" s="12"/>
      <c r="Z20" s="12"/>
      <c r="AA20" s="12"/>
      <c r="AB20" s="12"/>
      <c r="AC20" s="12"/>
      <c r="AD20" s="2"/>
    </row>
    <row r="21" spans="1:30" x14ac:dyDescent="0.2">
      <c r="A21" s="8"/>
      <c r="B21" s="281" t="s">
        <v>26</v>
      </c>
      <c r="C21" s="282"/>
      <c r="D21" s="282"/>
      <c r="E21" s="282"/>
      <c r="F21" s="282"/>
      <c r="G21" s="282"/>
      <c r="H21" s="282"/>
      <c r="I21" s="283"/>
      <c r="J21" s="214"/>
      <c r="K21" s="27"/>
      <c r="L21" s="12"/>
      <c r="M21" s="12"/>
      <c r="N21" s="288" t="s">
        <v>25</v>
      </c>
      <c r="O21" s="289"/>
      <c r="P21" s="289"/>
      <c r="Q21" s="289"/>
      <c r="R21" s="290"/>
      <c r="S21" s="131"/>
      <c r="T21" s="131"/>
      <c r="U21" s="131"/>
      <c r="V21" s="215"/>
      <c r="W21" s="12"/>
      <c r="X21" s="12"/>
      <c r="Y21" s="12"/>
      <c r="Z21" s="12"/>
      <c r="AA21" s="12"/>
      <c r="AB21" s="12"/>
      <c r="AC21" s="12"/>
      <c r="AD21" s="2"/>
    </row>
    <row r="22" spans="1:30" ht="25.5" x14ac:dyDescent="0.2">
      <c r="A22" s="58"/>
      <c r="B22" s="64" t="s">
        <v>0</v>
      </c>
      <c r="C22" s="64" t="s">
        <v>32</v>
      </c>
      <c r="D22" s="65" t="s">
        <v>28</v>
      </c>
      <c r="E22" s="65" t="s">
        <v>6</v>
      </c>
      <c r="F22" s="66" t="s">
        <v>1</v>
      </c>
      <c r="G22" s="216" t="s">
        <v>2</v>
      </c>
      <c r="H22" s="66" t="s">
        <v>4</v>
      </c>
      <c r="I22" s="66" t="s">
        <v>8</v>
      </c>
      <c r="J22" s="217"/>
      <c r="L22" s="28" t="s">
        <v>0</v>
      </c>
      <c r="M22" s="29" t="s">
        <v>20</v>
      </c>
      <c r="N22" s="28" t="s">
        <v>23</v>
      </c>
      <c r="O22" s="28" t="s">
        <v>3</v>
      </c>
      <c r="P22" s="28" t="s">
        <v>21</v>
      </c>
      <c r="Q22" s="28" t="s">
        <v>22</v>
      </c>
      <c r="R22" s="29" t="s">
        <v>36</v>
      </c>
      <c r="S22" s="215" t="s">
        <v>3</v>
      </c>
      <c r="T22" s="215" t="s">
        <v>24</v>
      </c>
      <c r="U22" s="215" t="s">
        <v>5</v>
      </c>
      <c r="V22" s="218"/>
      <c r="W22" s="12"/>
      <c r="X22" s="12"/>
      <c r="Y22" s="12"/>
      <c r="Z22" s="12"/>
      <c r="AA22" s="12"/>
      <c r="AB22" s="12"/>
      <c r="AC22" s="12"/>
      <c r="AD22" s="2"/>
    </row>
    <row r="23" spans="1:30" x14ac:dyDescent="0.2">
      <c r="A23" s="36"/>
      <c r="B23" s="238">
        <v>44840</v>
      </c>
      <c r="C23" s="219"/>
      <c r="D23" s="233"/>
      <c r="E23" s="234"/>
      <c r="F23" s="230"/>
      <c r="G23" s="230"/>
      <c r="H23" s="49">
        <f>+D12*G13*-1</f>
        <v>-288077362.52802002</v>
      </c>
      <c r="I23" s="230">
        <f>+D12</f>
        <v>255000000</v>
      </c>
      <c r="J23" s="220"/>
      <c r="L23" s="31">
        <v>44840</v>
      </c>
      <c r="M23" s="151"/>
      <c r="N23" s="32">
        <v>44773</v>
      </c>
      <c r="O23" s="152"/>
      <c r="P23" s="31"/>
      <c r="Q23" s="33"/>
      <c r="R23" s="33"/>
      <c r="S23" s="221">
        <f t="shared" ref="S23:S29" si="0">+L23-$B$23</f>
        <v>0</v>
      </c>
      <c r="T23" s="218"/>
      <c r="U23" s="218"/>
      <c r="V23" s="41"/>
      <c r="W23" s="12"/>
      <c r="X23" s="12"/>
      <c r="Y23" s="12"/>
      <c r="Z23" s="12"/>
      <c r="AA23" s="12"/>
      <c r="AB23" s="12"/>
      <c r="AC23" s="12"/>
      <c r="AD23" s="2"/>
    </row>
    <row r="24" spans="1:30" x14ac:dyDescent="0.2">
      <c r="A24" s="36"/>
      <c r="B24" s="238">
        <v>44854</v>
      </c>
      <c r="C24" s="258">
        <f>+'VDF A'!C24</f>
        <v>0.69810000000000005</v>
      </c>
      <c r="D24" s="225">
        <f>IF(C24+$D$14&lt;$D$15,$D$15,IF(C24+$D$14&gt;$D$16,$D$16,C24+$D$14))</f>
        <v>0.70810000000000006</v>
      </c>
      <c r="E24" s="235">
        <f>+F24/$I$23</f>
        <v>0.24740039999999996</v>
      </c>
      <c r="F24" s="49">
        <f>+IF(I23&gt;0,MIN(M24-G24,I23),0)</f>
        <v>63087101.999999993</v>
      </c>
      <c r="G24" s="236">
        <f>+MIN($M24,Q23+P24)</f>
        <v>45141375.000000007</v>
      </c>
      <c r="H24" s="230">
        <f>+F24+G24</f>
        <v>108228477</v>
      </c>
      <c r="I24" s="230">
        <f>+I23-F24+R24</f>
        <v>191912898</v>
      </c>
      <c r="J24" s="220"/>
      <c r="L24" s="38">
        <v>44854</v>
      </c>
      <c r="M24" s="173">
        <v>108228477</v>
      </c>
      <c r="N24" s="39">
        <v>44865</v>
      </c>
      <c r="O24" s="153">
        <v>90</v>
      </c>
      <c r="P24" s="40">
        <f>+I23*(D24)/360*O24</f>
        <v>45141375.000000007</v>
      </c>
      <c r="Q24" s="40">
        <f>+Q23+P24-G24-R24</f>
        <v>0</v>
      </c>
      <c r="R24" s="40">
        <f>+IF(M24=0,0,P24+Q23-G24)</f>
        <v>0</v>
      </c>
      <c r="S24" s="221">
        <f t="shared" si="0"/>
        <v>14</v>
      </c>
      <c r="T24" s="41">
        <f t="shared" ref="T24:T29" si="1">+H24/(1+$G$15)^(S24/360)</f>
        <v>105156901.14343846</v>
      </c>
      <c r="U24" s="41">
        <f t="shared" ref="U24:U29" si="2">+T24*S24</f>
        <v>1472196616.0081384</v>
      </c>
      <c r="V24" s="162"/>
      <c r="W24" s="157"/>
      <c r="X24" s="155"/>
      <c r="Y24" s="12"/>
      <c r="Z24" s="12"/>
      <c r="AA24" s="12"/>
      <c r="AB24" s="12"/>
      <c r="AC24" s="12"/>
      <c r="AD24" s="2"/>
    </row>
    <row r="25" spans="1:30" x14ac:dyDescent="0.2">
      <c r="A25" s="36"/>
      <c r="B25" s="238">
        <v>44887</v>
      </c>
      <c r="C25" s="258">
        <f>+'VDF A'!C25</f>
        <v>0.69810000000000005</v>
      </c>
      <c r="D25" s="225">
        <f>IF(C25+$D$14&lt;$D$15,$D$15,IF(C25+$D$14&gt;$D$16,$D$16,C25+$D$14))</f>
        <v>0.70810000000000006</v>
      </c>
      <c r="E25" s="235">
        <f>+F25/$I$23</f>
        <v>7.8109908799411765E-2</v>
      </c>
      <c r="F25" s="49">
        <f>+IF(I24&gt;0,MIN(M25-G25,I24),0)</f>
        <v>19918026.74385</v>
      </c>
      <c r="G25" s="236">
        <f>+MIN($M25,Q24+P25)</f>
        <v>11324460.25615</v>
      </c>
      <c r="H25" s="230">
        <f>+F25+G25</f>
        <v>31242487</v>
      </c>
      <c r="I25" s="230">
        <f>+I24-F25+R25</f>
        <v>171994871.25615001</v>
      </c>
      <c r="J25" s="220"/>
      <c r="L25" s="38">
        <v>44887</v>
      </c>
      <c r="M25" s="173">
        <v>31242487</v>
      </c>
      <c r="N25" s="39">
        <v>44895</v>
      </c>
      <c r="O25" s="153">
        <v>30</v>
      </c>
      <c r="P25" s="40">
        <f>+I24*(D25)/360*O25</f>
        <v>11324460.25615</v>
      </c>
      <c r="Q25" s="40">
        <f>+Q24+P25-G25-R25</f>
        <v>0</v>
      </c>
      <c r="R25" s="40">
        <f>+IF(M25=0,0,P25+Q24-G25)</f>
        <v>0</v>
      </c>
      <c r="S25" s="221">
        <f t="shared" si="0"/>
        <v>47</v>
      </c>
      <c r="T25" s="41">
        <f t="shared" si="1"/>
        <v>28364077.520566002</v>
      </c>
      <c r="U25" s="41">
        <f t="shared" si="2"/>
        <v>1333111643.4666021</v>
      </c>
      <c r="V25" s="162"/>
      <c r="W25" s="157"/>
      <c r="X25" s="155"/>
      <c r="Y25" s="12"/>
      <c r="Z25" s="12"/>
      <c r="AA25" s="12"/>
      <c r="AB25" s="12"/>
      <c r="AC25" s="12"/>
      <c r="AD25" s="2"/>
    </row>
    <row r="26" spans="1:30" x14ac:dyDescent="0.2">
      <c r="A26" s="36"/>
      <c r="B26" s="238">
        <v>44915</v>
      </c>
      <c r="C26" s="258">
        <f>+'VDF A'!C26</f>
        <v>0.69810000000000005</v>
      </c>
      <c r="D26" s="225">
        <f>IF(C26+$D$14&lt;$D$15,$D$15,IF(C26+$D$14&gt;$D$16,$D$16,C26+$D$14))</f>
        <v>0.70810000000000006</v>
      </c>
      <c r="E26" s="235">
        <f>+F26/$I$23</f>
        <v>7.9783840412915086E-2</v>
      </c>
      <c r="F26" s="49">
        <f>+IF(I25&gt;0,MIN(M26-G26,I25),0)</f>
        <v>20344879.305293348</v>
      </c>
      <c r="G26" s="236">
        <f>+MIN($M26,Q25+P26)</f>
        <v>10149130.694706652</v>
      </c>
      <c r="H26" s="230">
        <f>+F26+G26</f>
        <v>30494010</v>
      </c>
      <c r="I26" s="230">
        <f>+I25-F26+R26</f>
        <v>151649991.95085666</v>
      </c>
      <c r="J26" s="220"/>
      <c r="L26" s="38">
        <v>44915</v>
      </c>
      <c r="M26" s="173">
        <v>30494010</v>
      </c>
      <c r="N26" s="39">
        <v>44926</v>
      </c>
      <c r="O26" s="153">
        <v>30</v>
      </c>
      <c r="P26" s="40">
        <f>+I25*(D26)/360*O26</f>
        <v>10149130.694706652</v>
      </c>
      <c r="Q26" s="40">
        <f>+Q25+P26-G26-R26</f>
        <v>0</v>
      </c>
      <c r="R26" s="40">
        <f>+IF(M26=0,0,P26+Q25-G26)</f>
        <v>0</v>
      </c>
      <c r="S26" s="221">
        <f t="shared" si="0"/>
        <v>75</v>
      </c>
      <c r="T26" s="41">
        <f t="shared" si="1"/>
        <v>26135455.226398904</v>
      </c>
      <c r="U26" s="41">
        <f t="shared" si="2"/>
        <v>1960159141.9799178</v>
      </c>
      <c r="V26" s="162"/>
      <c r="W26" s="157"/>
      <c r="X26" s="155"/>
      <c r="Y26" s="12"/>
      <c r="Z26" s="12"/>
      <c r="AA26" s="12"/>
      <c r="AB26" s="12"/>
      <c r="AC26" s="12"/>
      <c r="AD26" s="2"/>
    </row>
    <row r="27" spans="1:30" x14ac:dyDescent="0.2">
      <c r="A27" s="36"/>
      <c r="B27" s="238">
        <v>44946</v>
      </c>
      <c r="C27" s="258">
        <f>+'VDF A'!C27</f>
        <v>0.69810000000000005</v>
      </c>
      <c r="D27" s="225">
        <f t="shared" ref="D27:D36" si="3">IF(C27+$D$14&lt;$D$15,$D$15,IF(C27+$D$14&gt;$D$16,$D$16,C27+$D$14))</f>
        <v>0.70810000000000006</v>
      </c>
      <c r="E27" s="235">
        <f t="shared" ref="E27:E36" si="4">+F27/$I$23</f>
        <v>8.2255928333202097E-2</v>
      </c>
      <c r="F27" s="49">
        <f t="shared" ref="F27:F36" si="5">+IF(I26&gt;0,MIN(M27-G27,I26),0)</f>
        <v>20975261.724966533</v>
      </c>
      <c r="G27" s="236">
        <f t="shared" ref="G27:G36" si="6">+MIN($M27,Q26+P27)</f>
        <v>8948613.2750334665</v>
      </c>
      <c r="H27" s="230">
        <f t="shared" ref="H27:H36" si="7">+F27+G27</f>
        <v>29923875</v>
      </c>
      <c r="I27" s="230">
        <f t="shared" ref="I27:I36" si="8">+I26-F27+R27</f>
        <v>130674730.22589013</v>
      </c>
      <c r="J27" s="220"/>
      <c r="L27" s="38">
        <v>44946</v>
      </c>
      <c r="M27" s="173">
        <v>29923875</v>
      </c>
      <c r="N27" s="39">
        <v>44957</v>
      </c>
      <c r="O27" s="153">
        <v>30</v>
      </c>
      <c r="P27" s="40">
        <f>+I26*(D27)/360*O27</f>
        <v>8948613.2750334665</v>
      </c>
      <c r="Q27" s="40">
        <f>+Q26+P27-G27-R27</f>
        <v>0</v>
      </c>
      <c r="R27" s="40">
        <f>+IF(M27=0,0,P27+Q26-G27)</f>
        <v>0</v>
      </c>
      <c r="S27" s="221">
        <f t="shared" si="0"/>
        <v>106</v>
      </c>
      <c r="T27" s="41">
        <f t="shared" si="1"/>
        <v>24062815.910259999</v>
      </c>
      <c r="U27" s="41">
        <f t="shared" si="2"/>
        <v>2550658486.4875598</v>
      </c>
      <c r="V27" s="162"/>
      <c r="W27" s="157"/>
      <c r="X27" s="155"/>
      <c r="Y27" s="12"/>
      <c r="Z27" s="12"/>
      <c r="AA27" s="12"/>
      <c r="AB27" s="12"/>
      <c r="AC27" s="12"/>
      <c r="AD27" s="2"/>
    </row>
    <row r="28" spans="1:30" x14ac:dyDescent="0.2">
      <c r="A28" s="36"/>
      <c r="B28" s="238">
        <v>44977</v>
      </c>
      <c r="C28" s="258">
        <f>+'VDF A'!C28</f>
        <v>0.69810000000000005</v>
      </c>
      <c r="D28" s="225">
        <f t="shared" si="3"/>
        <v>0.70810000000000006</v>
      </c>
      <c r="E28" s="235">
        <f t="shared" si="4"/>
        <v>9.0487905727793208E-2</v>
      </c>
      <c r="F28" s="49">
        <f t="shared" si="5"/>
        <v>23074415.960587267</v>
      </c>
      <c r="G28" s="236">
        <f t="shared" si="6"/>
        <v>7710898.0394127341</v>
      </c>
      <c r="H28" s="230">
        <f t="shared" si="7"/>
        <v>30785314</v>
      </c>
      <c r="I28" s="230">
        <f t="shared" si="8"/>
        <v>107600314.26530287</v>
      </c>
      <c r="J28" s="220"/>
      <c r="L28" s="38">
        <v>44977</v>
      </c>
      <c r="M28" s="173">
        <v>30785314</v>
      </c>
      <c r="N28" s="39">
        <v>44985</v>
      </c>
      <c r="O28" s="153">
        <v>30</v>
      </c>
      <c r="P28" s="40">
        <f t="shared" ref="P28:P35" si="9">+I27*(D28)/360*O28</f>
        <v>7710898.0394127341</v>
      </c>
      <c r="Q28" s="40">
        <f t="shared" ref="Q28:Q35" si="10">+Q27+P28-G28-R28</f>
        <v>0</v>
      </c>
      <c r="R28" s="40">
        <f t="shared" ref="R28:R35" si="11">+IF(M28=0,0,P28+Q27-G28)</f>
        <v>0</v>
      </c>
      <c r="S28" s="221">
        <f t="shared" si="0"/>
        <v>137</v>
      </c>
      <c r="T28" s="41">
        <f t="shared" si="1"/>
        <v>23226581.255537432</v>
      </c>
      <c r="U28" s="41">
        <f t="shared" si="2"/>
        <v>3182041632.0086284</v>
      </c>
      <c r="V28" s="162"/>
      <c r="W28" s="157"/>
      <c r="X28" s="155"/>
      <c r="Y28" s="12"/>
      <c r="Z28" s="12"/>
      <c r="AA28" s="12"/>
      <c r="AB28" s="12"/>
      <c r="AC28" s="12"/>
      <c r="AD28" s="2"/>
    </row>
    <row r="29" spans="1:30" x14ac:dyDescent="0.2">
      <c r="A29" s="36"/>
      <c r="B29" s="238">
        <v>45005</v>
      </c>
      <c r="C29" s="258">
        <f>+'VDF A'!C29</f>
        <v>0.69810000000000005</v>
      </c>
      <c r="D29" s="225">
        <f t="shared" si="3"/>
        <v>0.70810000000000006</v>
      </c>
      <c r="E29" s="235">
        <f t="shared" si="4"/>
        <v>8.9470932506123854E-2</v>
      </c>
      <c r="F29" s="49">
        <f t="shared" si="5"/>
        <v>22815087.789061584</v>
      </c>
      <c r="G29" s="236">
        <f t="shared" si="6"/>
        <v>6349315.2109384146</v>
      </c>
      <c r="H29" s="230">
        <f t="shared" si="7"/>
        <v>29164403</v>
      </c>
      <c r="I29" s="230">
        <f t="shared" si="8"/>
        <v>84785226.476241291</v>
      </c>
      <c r="J29" s="220"/>
      <c r="L29" s="38">
        <v>45005</v>
      </c>
      <c r="M29" s="173">
        <v>29164403</v>
      </c>
      <c r="N29" s="39">
        <v>45016</v>
      </c>
      <c r="O29" s="153">
        <v>30</v>
      </c>
      <c r="P29" s="40">
        <f t="shared" si="9"/>
        <v>6349315.2109384146</v>
      </c>
      <c r="Q29" s="40">
        <f t="shared" si="10"/>
        <v>0</v>
      </c>
      <c r="R29" s="40">
        <f t="shared" si="11"/>
        <v>0</v>
      </c>
      <c r="S29" s="221">
        <f t="shared" si="0"/>
        <v>165</v>
      </c>
      <c r="T29" s="41">
        <f t="shared" si="1"/>
        <v>20772427.802621145</v>
      </c>
      <c r="U29" s="41">
        <f t="shared" si="2"/>
        <v>3427450587.4324889</v>
      </c>
      <c r="V29" s="162"/>
      <c r="W29" s="157"/>
      <c r="X29" s="155"/>
      <c r="Y29" s="12"/>
      <c r="Z29" s="12"/>
      <c r="AA29" s="12"/>
      <c r="AB29" s="12"/>
      <c r="AC29" s="12"/>
      <c r="AD29" s="2"/>
    </row>
    <row r="30" spans="1:30" x14ac:dyDescent="0.2">
      <c r="A30" s="36"/>
      <c r="B30" s="238">
        <v>45036</v>
      </c>
      <c r="C30" s="258">
        <f>+'VDF A'!C30</f>
        <v>0.69810000000000005</v>
      </c>
      <c r="D30" s="225">
        <f t="shared" si="3"/>
        <v>0.70810000000000006</v>
      </c>
      <c r="E30" s="235">
        <f t="shared" si="4"/>
        <v>8.9586529781756047E-2</v>
      </c>
      <c r="F30" s="49">
        <f t="shared" si="5"/>
        <v>22844565.094347794</v>
      </c>
      <c r="G30" s="236">
        <f t="shared" si="6"/>
        <v>5003034.9056522055</v>
      </c>
      <c r="H30" s="230">
        <f t="shared" si="7"/>
        <v>27847600</v>
      </c>
      <c r="I30" s="230">
        <f t="shared" si="8"/>
        <v>61940661.381893501</v>
      </c>
      <c r="J30" s="220"/>
      <c r="L30" s="38">
        <v>45036</v>
      </c>
      <c r="M30" s="173">
        <v>27847600</v>
      </c>
      <c r="N30" s="39">
        <v>45046</v>
      </c>
      <c r="O30" s="153">
        <v>30</v>
      </c>
      <c r="P30" s="40">
        <f t="shared" si="9"/>
        <v>5003034.9056522055</v>
      </c>
      <c r="Q30" s="40">
        <f t="shared" si="10"/>
        <v>0</v>
      </c>
      <c r="R30" s="40">
        <f t="shared" si="11"/>
        <v>0</v>
      </c>
      <c r="S30" s="221">
        <f t="shared" ref="S30:S36" si="12">+L30-$B$23</f>
        <v>196</v>
      </c>
      <c r="T30" s="41">
        <f t="shared" ref="T30:T36" si="13">+H30/(1+$G$15)^(S30/360)</f>
        <v>18609513.751001723</v>
      </c>
      <c r="U30" s="41">
        <f t="shared" ref="U30:U36" si="14">+T30*S30</f>
        <v>3647464695.1963377</v>
      </c>
      <c r="V30" s="162"/>
      <c r="W30" s="157"/>
      <c r="X30" s="155"/>
      <c r="Y30" s="12"/>
      <c r="Z30" s="12"/>
      <c r="AA30" s="12"/>
      <c r="AB30" s="12"/>
      <c r="AC30" s="12"/>
      <c r="AD30" s="2"/>
    </row>
    <row r="31" spans="1:30" x14ac:dyDescent="0.2">
      <c r="A31" s="36"/>
      <c r="B31" s="238">
        <v>45068</v>
      </c>
      <c r="C31" s="258">
        <f>+'VDF A'!C31</f>
        <v>0.69810000000000005</v>
      </c>
      <c r="D31" s="225">
        <f t="shared" si="3"/>
        <v>0.70810000000000006</v>
      </c>
      <c r="E31" s="235">
        <f t="shared" si="4"/>
        <v>0.10438667767172588</v>
      </c>
      <c r="F31" s="49">
        <f t="shared" si="5"/>
        <v>26618602.806290101</v>
      </c>
      <c r="G31" s="236">
        <f t="shared" si="6"/>
        <v>3655015.1937098992</v>
      </c>
      <c r="H31" s="230">
        <f t="shared" si="7"/>
        <v>30273618</v>
      </c>
      <c r="I31" s="230">
        <f t="shared" si="8"/>
        <v>35322058.575603396</v>
      </c>
      <c r="J31" s="220"/>
      <c r="L31" s="38">
        <v>45068</v>
      </c>
      <c r="M31" s="173">
        <v>30273618</v>
      </c>
      <c r="N31" s="39">
        <v>45077</v>
      </c>
      <c r="O31" s="153">
        <v>30</v>
      </c>
      <c r="P31" s="40">
        <f t="shared" si="9"/>
        <v>3655015.1937098992</v>
      </c>
      <c r="Q31" s="40">
        <f t="shared" si="10"/>
        <v>0</v>
      </c>
      <c r="R31" s="40">
        <f t="shared" si="11"/>
        <v>0</v>
      </c>
      <c r="S31" s="221">
        <f t="shared" si="12"/>
        <v>228</v>
      </c>
      <c r="T31" s="41">
        <f t="shared" si="13"/>
        <v>18942248.936169285</v>
      </c>
      <c r="U31" s="41">
        <f t="shared" si="14"/>
        <v>4318832757.4465971</v>
      </c>
      <c r="V31" s="162"/>
      <c r="W31" s="157"/>
      <c r="X31" s="155"/>
      <c r="Y31" s="12"/>
      <c r="Z31" s="12"/>
      <c r="AA31" s="12"/>
      <c r="AB31" s="12"/>
      <c r="AC31" s="12"/>
      <c r="AD31" s="2"/>
    </row>
    <row r="32" spans="1:30" x14ac:dyDescent="0.2">
      <c r="A32" s="36"/>
      <c r="B32" s="238">
        <v>45097</v>
      </c>
      <c r="C32" s="258">
        <f>+'VDF A'!C32</f>
        <v>0.69810000000000005</v>
      </c>
      <c r="D32" s="225">
        <f t="shared" si="3"/>
        <v>0.70810000000000006</v>
      </c>
      <c r="E32" s="235">
        <f t="shared" si="4"/>
        <v>9.8925424288436342E-2</v>
      </c>
      <c r="F32" s="49">
        <f t="shared" si="5"/>
        <v>25225983.193551268</v>
      </c>
      <c r="G32" s="236">
        <f t="shared" si="6"/>
        <v>2084295.8064487304</v>
      </c>
      <c r="H32" s="230">
        <f t="shared" si="7"/>
        <v>27310279</v>
      </c>
      <c r="I32" s="230">
        <f t="shared" si="8"/>
        <v>10096075.382052127</v>
      </c>
      <c r="J32" s="220"/>
      <c r="L32" s="38">
        <v>45097</v>
      </c>
      <c r="M32" s="173">
        <v>27310279</v>
      </c>
      <c r="N32" s="39">
        <v>45107</v>
      </c>
      <c r="O32" s="153">
        <v>30</v>
      </c>
      <c r="P32" s="40">
        <f t="shared" si="9"/>
        <v>2084295.8064487304</v>
      </c>
      <c r="Q32" s="40">
        <f t="shared" si="10"/>
        <v>0</v>
      </c>
      <c r="R32" s="40">
        <f t="shared" si="11"/>
        <v>0</v>
      </c>
      <c r="S32" s="221">
        <f t="shared" si="12"/>
        <v>257</v>
      </c>
      <c r="T32" s="41">
        <f t="shared" si="13"/>
        <v>16098769.733535459</v>
      </c>
      <c r="U32" s="41">
        <f t="shared" si="14"/>
        <v>4137383821.5186129</v>
      </c>
      <c r="V32" s="162"/>
      <c r="W32" s="157"/>
      <c r="X32" s="155"/>
      <c r="Y32" s="12"/>
      <c r="Z32" s="12"/>
      <c r="AA32" s="12"/>
      <c r="AB32" s="12"/>
      <c r="AC32" s="12"/>
      <c r="AD32" s="2"/>
    </row>
    <row r="33" spans="1:30" x14ac:dyDescent="0.2">
      <c r="A33" s="36"/>
      <c r="B33" s="238">
        <v>45127</v>
      </c>
      <c r="C33" s="258">
        <f>+'VDF A'!C33</f>
        <v>0.69810000000000005</v>
      </c>
      <c r="D33" s="225">
        <f t="shared" si="3"/>
        <v>0.70810000000000006</v>
      </c>
      <c r="E33" s="235">
        <f t="shared" si="4"/>
        <v>3.9592452478635791E-2</v>
      </c>
      <c r="F33" s="49">
        <f t="shared" si="5"/>
        <v>10096075.382052127</v>
      </c>
      <c r="G33" s="236">
        <f t="shared" si="6"/>
        <v>595752.58150259266</v>
      </c>
      <c r="H33" s="230">
        <f t="shared" si="7"/>
        <v>10691827.963554719</v>
      </c>
      <c r="I33" s="230">
        <f t="shared" si="8"/>
        <v>0</v>
      </c>
      <c r="J33" s="220"/>
      <c r="L33" s="38">
        <v>45127</v>
      </c>
      <c r="M33" s="173">
        <v>25124033</v>
      </c>
      <c r="N33" s="39">
        <v>44773</v>
      </c>
      <c r="O33" s="153">
        <v>30</v>
      </c>
      <c r="P33" s="40">
        <f t="shared" si="9"/>
        <v>595752.58150259266</v>
      </c>
      <c r="Q33" s="40">
        <f t="shared" si="10"/>
        <v>0</v>
      </c>
      <c r="R33" s="40">
        <f t="shared" si="11"/>
        <v>0</v>
      </c>
      <c r="S33" s="221">
        <f t="shared" si="12"/>
        <v>287</v>
      </c>
      <c r="T33" s="41">
        <f t="shared" si="13"/>
        <v>5925496.2289546384</v>
      </c>
      <c r="U33" s="41">
        <f t="shared" si="14"/>
        <v>1700617417.7099812</v>
      </c>
      <c r="V33" s="162"/>
      <c r="W33" s="157"/>
      <c r="X33" s="155"/>
      <c r="Y33" s="12"/>
      <c r="Z33" s="12"/>
      <c r="AA33" s="12"/>
      <c r="AB33" s="12"/>
      <c r="AC33" s="12"/>
      <c r="AD33" s="2"/>
    </row>
    <row r="34" spans="1:30" x14ac:dyDescent="0.2">
      <c r="A34" s="36"/>
      <c r="B34" s="238">
        <v>45159</v>
      </c>
      <c r="C34" s="258">
        <f>+'VDF A'!C34</f>
        <v>0.69810000000000005</v>
      </c>
      <c r="D34" s="225">
        <f t="shared" si="3"/>
        <v>0.70810000000000006</v>
      </c>
      <c r="E34" s="235">
        <f t="shared" si="4"/>
        <v>0</v>
      </c>
      <c r="F34" s="49">
        <f t="shared" si="5"/>
        <v>0</v>
      </c>
      <c r="G34" s="236">
        <f t="shared" si="6"/>
        <v>0</v>
      </c>
      <c r="H34" s="230">
        <f t="shared" si="7"/>
        <v>0</v>
      </c>
      <c r="I34" s="230">
        <f t="shared" si="8"/>
        <v>0</v>
      </c>
      <c r="J34" s="220"/>
      <c r="L34" s="38">
        <v>45159</v>
      </c>
      <c r="M34" s="173">
        <v>25029529</v>
      </c>
      <c r="N34" s="39">
        <v>44804</v>
      </c>
      <c r="O34" s="153">
        <v>31</v>
      </c>
      <c r="P34" s="40">
        <f t="shared" si="9"/>
        <v>0</v>
      </c>
      <c r="Q34" s="40">
        <f t="shared" si="10"/>
        <v>0</v>
      </c>
      <c r="R34" s="40">
        <f t="shared" si="11"/>
        <v>0</v>
      </c>
      <c r="S34" s="221">
        <f t="shared" si="12"/>
        <v>319</v>
      </c>
      <c r="T34" s="41">
        <f t="shared" si="13"/>
        <v>0</v>
      </c>
      <c r="U34" s="41">
        <f t="shared" si="14"/>
        <v>0</v>
      </c>
      <c r="V34" s="162"/>
      <c r="W34" s="157"/>
      <c r="X34" s="155"/>
      <c r="Y34" s="12"/>
      <c r="Z34" s="12"/>
      <c r="AA34" s="12"/>
      <c r="AB34" s="12"/>
      <c r="AC34" s="12"/>
      <c r="AD34" s="2"/>
    </row>
    <row r="35" spans="1:30" x14ac:dyDescent="0.2">
      <c r="A35" s="36"/>
      <c r="B35" s="238">
        <v>45189</v>
      </c>
      <c r="C35" s="258">
        <f>+'VDF A'!C35</f>
        <v>0.69810000000000005</v>
      </c>
      <c r="D35" s="225">
        <f t="shared" si="3"/>
        <v>0.70810000000000006</v>
      </c>
      <c r="E35" s="235">
        <f t="shared" si="4"/>
        <v>0</v>
      </c>
      <c r="F35" s="49">
        <f t="shared" si="5"/>
        <v>0</v>
      </c>
      <c r="G35" s="236">
        <f t="shared" si="6"/>
        <v>0</v>
      </c>
      <c r="H35" s="230">
        <f t="shared" si="7"/>
        <v>0</v>
      </c>
      <c r="I35" s="230">
        <f t="shared" si="8"/>
        <v>0</v>
      </c>
      <c r="J35" s="220"/>
      <c r="L35" s="38">
        <v>45189</v>
      </c>
      <c r="M35" s="173">
        <v>20291523</v>
      </c>
      <c r="N35" s="39">
        <v>44834</v>
      </c>
      <c r="O35" s="153">
        <v>30</v>
      </c>
      <c r="P35" s="40">
        <f t="shared" si="9"/>
        <v>0</v>
      </c>
      <c r="Q35" s="40">
        <f t="shared" si="10"/>
        <v>0</v>
      </c>
      <c r="R35" s="40">
        <f t="shared" si="11"/>
        <v>0</v>
      </c>
      <c r="S35" s="221">
        <f t="shared" si="12"/>
        <v>349</v>
      </c>
      <c r="T35" s="41">
        <f t="shared" si="13"/>
        <v>0</v>
      </c>
      <c r="U35" s="41">
        <f t="shared" si="14"/>
        <v>0</v>
      </c>
      <c r="V35" s="162"/>
      <c r="W35" s="157"/>
      <c r="X35" s="155"/>
      <c r="Y35" s="12"/>
      <c r="Z35" s="12"/>
      <c r="AA35" s="12"/>
      <c r="AB35" s="12"/>
      <c r="AC35" s="12"/>
      <c r="AD35" s="2"/>
    </row>
    <row r="36" spans="1:30" x14ac:dyDescent="0.2">
      <c r="A36" s="36"/>
      <c r="B36" s="238">
        <v>45219</v>
      </c>
      <c r="C36" s="258">
        <f>+'VDF A'!C36</f>
        <v>0.69810000000000005</v>
      </c>
      <c r="D36" s="225">
        <f t="shared" si="3"/>
        <v>0.70810000000000006</v>
      </c>
      <c r="E36" s="235">
        <f t="shared" si="4"/>
        <v>0</v>
      </c>
      <c r="F36" s="49">
        <f t="shared" si="5"/>
        <v>0</v>
      </c>
      <c r="G36" s="236">
        <f t="shared" si="6"/>
        <v>0</v>
      </c>
      <c r="H36" s="230">
        <f t="shared" si="7"/>
        <v>0</v>
      </c>
      <c r="I36" s="230">
        <f t="shared" si="8"/>
        <v>0</v>
      </c>
      <c r="J36" s="220"/>
      <c r="L36" s="42">
        <v>45219</v>
      </c>
      <c r="M36" s="176">
        <v>18712794</v>
      </c>
      <c r="N36" s="43">
        <v>44865</v>
      </c>
      <c r="O36" s="245">
        <v>31</v>
      </c>
      <c r="P36" s="44">
        <f>+I35*(D36)/360*O36</f>
        <v>0</v>
      </c>
      <c r="Q36" s="44">
        <f>+Q35+P36-G36-R36</f>
        <v>0</v>
      </c>
      <c r="R36" s="44">
        <f>+IF(M36=0,0,P36+Q35-G36)</f>
        <v>0</v>
      </c>
      <c r="S36" s="221">
        <f t="shared" si="12"/>
        <v>379</v>
      </c>
      <c r="T36" s="41">
        <f t="shared" si="13"/>
        <v>0</v>
      </c>
      <c r="U36" s="41">
        <f t="shared" si="14"/>
        <v>0</v>
      </c>
      <c r="V36" s="162"/>
      <c r="W36" s="157"/>
      <c r="X36" s="155"/>
      <c r="Y36" s="12"/>
      <c r="Z36" s="12"/>
      <c r="AA36" s="12"/>
      <c r="AB36" s="12"/>
      <c r="AC36" s="12"/>
      <c r="AD36" s="2"/>
    </row>
    <row r="37" spans="1:30" s="6" customFormat="1" x14ac:dyDescent="0.2">
      <c r="A37" s="54"/>
      <c r="B37" s="67"/>
      <c r="C37" s="67"/>
      <c r="D37" s="68"/>
      <c r="E37" s="69">
        <f>SUM(E24:E36)</f>
        <v>1</v>
      </c>
      <c r="F37" s="70">
        <f>SUM(F23:F36)</f>
        <v>255000000</v>
      </c>
      <c r="G37" s="71">
        <f>SUM(G23:G36)</f>
        <v>100961890.9635547</v>
      </c>
      <c r="H37" s="70">
        <f>SUM(H24:H36)</f>
        <v>355961890.96355474</v>
      </c>
      <c r="I37" s="72"/>
      <c r="J37" s="222"/>
      <c r="L37" s="45"/>
      <c r="M37" s="130"/>
      <c r="N37" s="45"/>
      <c r="O37" s="45"/>
      <c r="P37" s="154"/>
      <c r="Q37" s="45"/>
      <c r="R37" s="45"/>
      <c r="S37" s="45"/>
      <c r="T37" s="46">
        <f>SUM(T24:T36)</f>
        <v>287294287.50848299</v>
      </c>
      <c r="U37" s="46">
        <f>SUM(U24:U36)</f>
        <v>27729916799.254864</v>
      </c>
      <c r="V37" s="162"/>
      <c r="W37" s="155"/>
      <c r="X37" s="159"/>
      <c r="Y37" s="12"/>
      <c r="Z37" s="12"/>
      <c r="AA37" s="12"/>
      <c r="AB37" s="12"/>
      <c r="AC37" s="12"/>
    </row>
    <row r="38" spans="1:30" s="6" customFormat="1" x14ac:dyDescent="0.2">
      <c r="A38" s="54"/>
      <c r="B38" s="223" t="s">
        <v>35</v>
      </c>
      <c r="C38" s="224"/>
      <c r="D38" s="258">
        <f>+'VDF A'!D38</f>
        <v>0.69810000000000005</v>
      </c>
      <c r="E38" s="56"/>
      <c r="F38" s="63"/>
      <c r="G38" s="63"/>
      <c r="H38" s="63"/>
      <c r="I38" s="62"/>
      <c r="J38" s="222"/>
      <c r="L38" s="45"/>
      <c r="M38" s="45"/>
      <c r="N38" s="45"/>
      <c r="O38" s="45"/>
      <c r="P38" s="12"/>
      <c r="Q38" s="12"/>
      <c r="R38" s="12"/>
      <c r="S38" s="12"/>
      <c r="T38" s="12"/>
      <c r="U38" s="47">
        <f>+U37/T37</f>
        <v>96.520947352411511</v>
      </c>
      <c r="V38" s="157"/>
      <c r="W38" s="12"/>
      <c r="X38" s="158"/>
      <c r="Y38" s="12"/>
      <c r="Z38" s="12"/>
      <c r="AA38" s="12"/>
      <c r="AB38" s="12"/>
      <c r="AC38" s="12"/>
    </row>
    <row r="39" spans="1:30" s="6" customFormat="1" x14ac:dyDescent="0.2">
      <c r="A39" s="54"/>
      <c r="B39" s="223"/>
      <c r="C39" s="224"/>
      <c r="D39" s="225"/>
      <c r="E39" s="56"/>
      <c r="F39" s="126"/>
      <c r="G39" s="126"/>
      <c r="H39" s="126"/>
      <c r="I39" s="226"/>
      <c r="J39" s="222"/>
      <c r="L39" s="45"/>
      <c r="M39" s="45"/>
      <c r="N39" s="45"/>
      <c r="O39" s="45"/>
      <c r="P39" s="12"/>
      <c r="Q39" s="12"/>
      <c r="R39" s="12"/>
      <c r="S39" s="12"/>
      <c r="T39" s="131" t="s">
        <v>5</v>
      </c>
      <c r="U39" s="47">
        <f>+U38/30</f>
        <v>3.2173649117470502</v>
      </c>
      <c r="V39" s="41"/>
      <c r="W39" s="12"/>
      <c r="X39" s="12"/>
      <c r="Y39" s="12"/>
      <c r="Z39" s="12"/>
      <c r="AA39" s="12"/>
      <c r="AB39" s="12"/>
      <c r="AC39" s="12"/>
    </row>
    <row r="40" spans="1:30" s="6" customFormat="1" x14ac:dyDescent="0.2">
      <c r="A40" s="54"/>
      <c r="B40" s="227"/>
      <c r="C40" s="227"/>
      <c r="D40" s="227"/>
      <c r="E40" s="227"/>
      <c r="F40" s="126"/>
      <c r="G40" s="126"/>
      <c r="H40" s="126"/>
      <c r="I40" s="226"/>
      <c r="J40" s="222"/>
      <c r="L40" s="45"/>
      <c r="M40" s="45"/>
      <c r="N40" s="45"/>
      <c r="O40" s="45"/>
      <c r="P40" s="12"/>
      <c r="Q40" s="12"/>
      <c r="R40" s="12"/>
      <c r="S40" s="12"/>
      <c r="T40" s="12"/>
      <c r="U40" s="47"/>
      <c r="V40" s="41"/>
      <c r="W40" s="12"/>
      <c r="X40" s="12"/>
      <c r="Y40" s="12"/>
      <c r="Z40" s="12"/>
      <c r="AA40" s="12"/>
      <c r="AB40" s="12"/>
      <c r="AC40" s="12"/>
    </row>
    <row r="41" spans="1:30" x14ac:dyDescent="0.2">
      <c r="B41" s="223"/>
      <c r="C41" s="224"/>
      <c r="D41" s="225"/>
      <c r="E41" s="56"/>
      <c r="F41" s="126"/>
      <c r="G41" s="126"/>
      <c r="H41" s="126"/>
      <c r="I41" s="226"/>
      <c r="L41" s="45"/>
      <c r="M41" s="45"/>
      <c r="N41" s="45"/>
      <c r="O41" s="45"/>
      <c r="P41" s="12"/>
      <c r="Q41" s="12"/>
      <c r="R41" s="12"/>
      <c r="S41" s="12"/>
      <c r="T41" s="12"/>
      <c r="U41" s="47"/>
      <c r="V41" s="50"/>
      <c r="W41" s="115"/>
      <c r="X41" s="144"/>
      <c r="Y41" s="3"/>
      <c r="AC41" s="12"/>
      <c r="AD41" s="2"/>
    </row>
    <row r="42" spans="1:30" ht="15" x14ac:dyDescent="0.2">
      <c r="B42" s="277" t="s">
        <v>30</v>
      </c>
      <c r="C42" s="277"/>
      <c r="D42" s="277"/>
      <c r="E42" s="277"/>
      <c r="F42" s="277"/>
      <c r="G42" s="277"/>
      <c r="H42" s="277"/>
      <c r="I42" s="228"/>
      <c r="J42" s="6"/>
      <c r="K42" s="6"/>
      <c r="O42" s="50"/>
      <c r="P42" s="50"/>
      <c r="Q42" s="50"/>
      <c r="R42" s="50"/>
      <c r="S42" s="50"/>
      <c r="T42" s="50"/>
      <c r="U42" s="50"/>
      <c r="V42" s="50"/>
      <c r="W42" s="50"/>
      <c r="X42" s="116"/>
    </row>
    <row r="43" spans="1:30" x14ac:dyDescent="0.2">
      <c r="B43" s="276" t="s">
        <v>26</v>
      </c>
      <c r="C43" s="276"/>
      <c r="D43" s="276"/>
      <c r="E43" s="276"/>
      <c r="F43" s="276"/>
      <c r="G43" s="276"/>
      <c r="H43" s="276"/>
      <c r="I43" s="229"/>
      <c r="J43" s="6"/>
      <c r="K43" s="5"/>
      <c r="L43" s="12"/>
      <c r="M43" s="12"/>
      <c r="N43" s="284" t="s">
        <v>25</v>
      </c>
      <c r="O43" s="284"/>
      <c r="P43" s="284"/>
      <c r="Q43" s="284"/>
      <c r="R43" s="26"/>
      <c r="S43" s="26"/>
      <c r="T43" s="50"/>
      <c r="U43" s="50"/>
      <c r="V43" s="50"/>
      <c r="X43" s="144"/>
      <c r="Y43" s="3"/>
      <c r="AC43" s="12"/>
    </row>
    <row r="44" spans="1:30" ht="25.5" x14ac:dyDescent="0.2">
      <c r="B44" s="64" t="s">
        <v>0</v>
      </c>
      <c r="C44" s="65" t="s">
        <v>29</v>
      </c>
      <c r="D44" s="65" t="s">
        <v>6</v>
      </c>
      <c r="E44" s="66" t="s">
        <v>1</v>
      </c>
      <c r="F44" s="216" t="s">
        <v>2</v>
      </c>
      <c r="G44" s="66" t="s">
        <v>4</v>
      </c>
      <c r="H44" s="66" t="s">
        <v>8</v>
      </c>
      <c r="I44" s="6"/>
      <c r="J44" s="6"/>
      <c r="K44" s="5"/>
      <c r="L44" s="28" t="s">
        <v>0</v>
      </c>
      <c r="M44" s="29" t="s">
        <v>20</v>
      </c>
      <c r="N44" s="28" t="s">
        <v>23</v>
      </c>
      <c r="O44" s="28" t="s">
        <v>3</v>
      </c>
      <c r="P44" s="28" t="s">
        <v>21</v>
      </c>
      <c r="Q44" s="28" t="s">
        <v>22</v>
      </c>
      <c r="R44" s="30"/>
      <c r="S44" s="30"/>
      <c r="T44" s="50"/>
      <c r="U44" s="50"/>
      <c r="V44" s="50"/>
      <c r="W44" s="50"/>
      <c r="X44" s="144"/>
      <c r="Y44" s="3"/>
      <c r="AC44" s="12"/>
    </row>
    <row r="45" spans="1:30" x14ac:dyDescent="0.2">
      <c r="B45" s="232">
        <v>44840</v>
      </c>
      <c r="C45" s="233"/>
      <c r="D45" s="234"/>
      <c r="E45" s="230"/>
      <c r="F45" s="230"/>
      <c r="G45" s="49">
        <v>0</v>
      </c>
      <c r="H45" s="230">
        <f>+P14</f>
        <v>255000000</v>
      </c>
      <c r="I45" s="186"/>
      <c r="J45" s="6"/>
      <c r="K45" s="5"/>
      <c r="L45" s="32">
        <v>44840</v>
      </c>
      <c r="M45" s="181"/>
      <c r="N45" s="32">
        <v>44773</v>
      </c>
      <c r="O45" s="172"/>
      <c r="P45" s="180"/>
      <c r="Q45" s="177"/>
      <c r="R45" s="170"/>
      <c r="S45" s="170"/>
      <c r="T45" s="50"/>
      <c r="U45" s="50"/>
      <c r="V45" s="50"/>
      <c r="X45" s="144"/>
      <c r="Y45" s="3"/>
      <c r="AC45" s="12"/>
    </row>
    <row r="46" spans="1:30" x14ac:dyDescent="0.2">
      <c r="B46" s="238">
        <v>44854</v>
      </c>
      <c r="C46" s="225">
        <v>0.7</v>
      </c>
      <c r="D46" s="235">
        <f t="shared" ref="D46:D58" si="15">+E46/$H$45</f>
        <v>0.24942539999999999</v>
      </c>
      <c r="E46" s="49">
        <f>+IF(H45&gt;0,MIN(M46-F46,H45),0)</f>
        <v>63603477</v>
      </c>
      <c r="F46" s="236">
        <f>+MIN($M46,Q45+P46)</f>
        <v>44625000</v>
      </c>
      <c r="G46" s="230">
        <f>+E46+F46</f>
        <v>108228477</v>
      </c>
      <c r="H46" s="230">
        <f>+H45-E46</f>
        <v>191396523</v>
      </c>
      <c r="I46" s="187"/>
      <c r="J46" s="6"/>
      <c r="K46" s="5"/>
      <c r="L46" s="38">
        <v>44854</v>
      </c>
      <c r="M46" s="173">
        <v>108228477</v>
      </c>
      <c r="N46" s="39">
        <v>44865</v>
      </c>
      <c r="O46" s="153">
        <v>90</v>
      </c>
      <c r="P46" s="40">
        <f>+H45*(C46)/360*O46</f>
        <v>44625000</v>
      </c>
      <c r="Q46" s="241">
        <f t="shared" ref="Q46:Q54" si="16">+Q45+P46-F46</f>
        <v>0</v>
      </c>
      <c r="R46" s="243"/>
      <c r="S46" s="243"/>
      <c r="T46" s="50"/>
      <c r="U46" s="50"/>
      <c r="V46" s="50"/>
      <c r="X46" s="144"/>
      <c r="Y46" s="3"/>
      <c r="AC46" s="12"/>
    </row>
    <row r="47" spans="1:30" x14ac:dyDescent="0.2">
      <c r="B47" s="238">
        <v>44887</v>
      </c>
      <c r="C47" s="225">
        <v>0.7</v>
      </c>
      <c r="D47" s="235">
        <f t="shared" si="15"/>
        <v>7.8736038529411773E-2</v>
      </c>
      <c r="E47" s="49">
        <f>+IF(H46&gt;0,MIN(M47-F47,H46),0)</f>
        <v>20077689.825000003</v>
      </c>
      <c r="F47" s="236">
        <f>+MIN($M47,Q46+P47)</f>
        <v>11164797.174999999</v>
      </c>
      <c r="G47" s="230">
        <f>+E47+F47</f>
        <v>31242487</v>
      </c>
      <c r="H47" s="230">
        <f>+H46-E47</f>
        <v>171318833.17500001</v>
      </c>
      <c r="I47" s="187"/>
      <c r="J47" s="6"/>
      <c r="K47" s="5"/>
      <c r="L47" s="38">
        <v>44887</v>
      </c>
      <c r="M47" s="173">
        <v>31242487</v>
      </c>
      <c r="N47" s="39">
        <v>44895</v>
      </c>
      <c r="O47" s="153">
        <v>30</v>
      </c>
      <c r="P47" s="40">
        <f t="shared" ref="P47:P54" si="17">+H46*(C47)/360*O47</f>
        <v>11164797.174999999</v>
      </c>
      <c r="Q47" s="241">
        <f t="shared" si="16"/>
        <v>0</v>
      </c>
      <c r="R47" s="243"/>
      <c r="S47" s="243"/>
      <c r="V47" s="50"/>
      <c r="X47" s="144"/>
      <c r="Y47" s="3"/>
      <c r="AC47" s="12"/>
    </row>
    <row r="48" spans="1:30" x14ac:dyDescent="0.2">
      <c r="B48" s="238">
        <v>44915</v>
      </c>
      <c r="C48" s="225">
        <v>0.7</v>
      </c>
      <c r="D48" s="235">
        <f t="shared" si="15"/>
        <v>8.0393770188725497E-2</v>
      </c>
      <c r="E48" s="49">
        <f>+IF(H47&gt;0,MIN(M48-F48,H47),0)</f>
        <v>20500411.398125</v>
      </c>
      <c r="F48" s="236">
        <f>+MIN($M48,Q47+P48)</f>
        <v>9993598.6018749997</v>
      </c>
      <c r="G48" s="230">
        <f>+E48+F48</f>
        <v>30494010</v>
      </c>
      <c r="H48" s="230">
        <f>+H47-E48</f>
        <v>150818421.77687502</v>
      </c>
      <c r="I48" s="187"/>
      <c r="J48" s="6"/>
      <c r="K48" s="5"/>
      <c r="L48" s="38">
        <v>44915</v>
      </c>
      <c r="M48" s="173">
        <v>30494010</v>
      </c>
      <c r="N48" s="39">
        <v>44926</v>
      </c>
      <c r="O48" s="153">
        <v>30</v>
      </c>
      <c r="P48" s="40">
        <f t="shared" si="17"/>
        <v>9993598.6018749997</v>
      </c>
      <c r="Q48" s="241">
        <f t="shared" si="16"/>
        <v>0</v>
      </c>
      <c r="R48" s="243"/>
      <c r="S48" s="243"/>
      <c r="V48" s="50"/>
      <c r="X48" s="144"/>
      <c r="Y48" s="3"/>
      <c r="AC48" s="12"/>
    </row>
    <row r="49" spans="2:29" x14ac:dyDescent="0.2">
      <c r="B49" s="238">
        <v>44946</v>
      </c>
      <c r="C49" s="225">
        <v>0.7</v>
      </c>
      <c r="D49" s="235">
        <f t="shared" si="15"/>
        <v>8.2847583253656057E-2</v>
      </c>
      <c r="E49" s="49">
        <f>+IF(H48&gt;0,MIN(M49-F49,H48),0)</f>
        <v>21126133.729682293</v>
      </c>
      <c r="F49" s="236">
        <f>+MIN($M49,Q48+P49)</f>
        <v>8797741.2703177072</v>
      </c>
      <c r="G49" s="230">
        <f>+E49+F49</f>
        <v>29923875</v>
      </c>
      <c r="H49" s="230">
        <f>+H48-E49</f>
        <v>129692288.04719272</v>
      </c>
      <c r="I49" s="187"/>
      <c r="J49" s="6"/>
      <c r="K49" s="5"/>
      <c r="L49" s="38">
        <v>44946</v>
      </c>
      <c r="M49" s="173">
        <v>29923875</v>
      </c>
      <c r="N49" s="39">
        <v>44957</v>
      </c>
      <c r="O49" s="153">
        <v>30</v>
      </c>
      <c r="P49" s="40">
        <f t="shared" si="17"/>
        <v>8797741.2703177072</v>
      </c>
      <c r="Q49" s="241">
        <f t="shared" si="16"/>
        <v>0</v>
      </c>
      <c r="R49" s="243"/>
      <c r="S49" s="243"/>
      <c r="V49" s="50"/>
      <c r="X49" s="144"/>
      <c r="Y49" s="3"/>
      <c r="AC49" s="12"/>
    </row>
    <row r="50" spans="2:29" x14ac:dyDescent="0.2">
      <c r="B50" s="238">
        <v>44977</v>
      </c>
      <c r="C50" s="225">
        <v>0.7</v>
      </c>
      <c r="D50" s="235">
        <f t="shared" si="15"/>
        <v>9.1058551100315382E-2</v>
      </c>
      <c r="E50" s="49">
        <f>+IF(H49&gt;0,MIN(M50-F50,H49),0)</f>
        <v>23219930.530580424</v>
      </c>
      <c r="F50" s="236">
        <f>+MIN($M50,Q49+P50)</f>
        <v>7565383.4694195744</v>
      </c>
      <c r="G50" s="230">
        <f>+E50+F50</f>
        <v>30785314</v>
      </c>
      <c r="H50" s="230">
        <f>+H49-E50</f>
        <v>106472357.51661229</v>
      </c>
      <c r="I50" s="187"/>
      <c r="J50" s="6"/>
      <c r="K50" s="5"/>
      <c r="L50" s="38">
        <v>44977</v>
      </c>
      <c r="M50" s="173">
        <v>30785314</v>
      </c>
      <c r="N50" s="39">
        <v>44985</v>
      </c>
      <c r="O50" s="153">
        <v>30</v>
      </c>
      <c r="P50" s="40">
        <f t="shared" si="17"/>
        <v>7565383.4694195744</v>
      </c>
      <c r="Q50" s="241">
        <f t="shared" si="16"/>
        <v>0</v>
      </c>
      <c r="R50" s="243"/>
      <c r="S50" s="243"/>
      <c r="X50" s="144"/>
      <c r="Y50" s="3"/>
      <c r="AC50" s="12"/>
    </row>
    <row r="51" spans="2:29" x14ac:dyDescent="0.2">
      <c r="B51" s="238">
        <v>45005</v>
      </c>
      <c r="C51" s="225">
        <v>0.7</v>
      </c>
      <c r="D51" s="235">
        <f t="shared" si="15"/>
        <v>9.001378618901025E-2</v>
      </c>
      <c r="E51" s="49">
        <f t="shared" ref="E51:E58" si="18">+IF(H50&gt;0,MIN(M51-F51,H50),0)</f>
        <v>22953515.478197616</v>
      </c>
      <c r="F51" s="236">
        <f t="shared" ref="F51:F58" si="19">+MIN($M51,Q50+P51)</f>
        <v>6210887.5218023835</v>
      </c>
      <c r="G51" s="230">
        <f t="shared" ref="G51:G58" si="20">+E51+F51</f>
        <v>29164403</v>
      </c>
      <c r="H51" s="230">
        <f t="shared" ref="H51:H58" si="21">+H50-E51</f>
        <v>83518842.038414672</v>
      </c>
      <c r="I51" s="187"/>
      <c r="J51" s="6"/>
      <c r="K51" s="5"/>
      <c r="L51" s="38">
        <v>45005</v>
      </c>
      <c r="M51" s="173">
        <v>29164403</v>
      </c>
      <c r="N51" s="39">
        <v>45016</v>
      </c>
      <c r="O51" s="153">
        <v>30</v>
      </c>
      <c r="P51" s="40">
        <f t="shared" si="17"/>
        <v>6210887.5218023835</v>
      </c>
      <c r="Q51" s="241">
        <f t="shared" si="16"/>
        <v>0</v>
      </c>
      <c r="R51" s="243"/>
      <c r="S51" s="243"/>
      <c r="X51" s="144"/>
      <c r="Y51" s="3"/>
      <c r="AC51" s="12"/>
    </row>
    <row r="52" spans="2:29" x14ac:dyDescent="0.2">
      <c r="B52" s="238">
        <v>45036</v>
      </c>
      <c r="C52" s="225">
        <v>0.7</v>
      </c>
      <c r="D52" s="235">
        <f t="shared" si="15"/>
        <v>9.0100657050035865E-2</v>
      </c>
      <c r="E52" s="49">
        <f t="shared" si="18"/>
        <v>22975667.547759145</v>
      </c>
      <c r="F52" s="236">
        <f t="shared" si="19"/>
        <v>4871932.4522408564</v>
      </c>
      <c r="G52" s="230">
        <f t="shared" si="20"/>
        <v>27847600</v>
      </c>
      <c r="H52" s="230">
        <f t="shared" si="21"/>
        <v>60543174.490655527</v>
      </c>
      <c r="I52" s="187"/>
      <c r="J52" s="6"/>
      <c r="K52" s="5"/>
      <c r="L52" s="38">
        <v>45036</v>
      </c>
      <c r="M52" s="173">
        <v>27847600</v>
      </c>
      <c r="N52" s="39">
        <v>45046</v>
      </c>
      <c r="O52" s="153">
        <v>30</v>
      </c>
      <c r="P52" s="40">
        <f t="shared" si="17"/>
        <v>4871932.4522408564</v>
      </c>
      <c r="Q52" s="241">
        <f t="shared" si="16"/>
        <v>0</v>
      </c>
      <c r="R52" s="243"/>
      <c r="S52" s="243"/>
      <c r="X52" s="144"/>
      <c r="Y52" s="3"/>
      <c r="AC52" s="12"/>
    </row>
    <row r="53" spans="2:29" x14ac:dyDescent="0.2">
      <c r="B53" s="238">
        <v>45068</v>
      </c>
      <c r="C53" s="225">
        <v>0.7</v>
      </c>
      <c r="D53" s="235">
        <f t="shared" si="15"/>
        <v>0.10487032478971933</v>
      </c>
      <c r="E53" s="49">
        <f t="shared" si="18"/>
        <v>26741932.821378428</v>
      </c>
      <c r="F53" s="236">
        <f t="shared" si="19"/>
        <v>3531685.178621572</v>
      </c>
      <c r="G53" s="230">
        <f t="shared" si="20"/>
        <v>30273618</v>
      </c>
      <c r="H53" s="230">
        <f t="shared" si="21"/>
        <v>33801241.669277102</v>
      </c>
      <c r="I53" s="187"/>
      <c r="J53" s="6"/>
      <c r="K53" s="5"/>
      <c r="L53" s="38">
        <v>45068</v>
      </c>
      <c r="M53" s="173">
        <v>30273618</v>
      </c>
      <c r="N53" s="39">
        <v>45077</v>
      </c>
      <c r="O53" s="153">
        <v>30</v>
      </c>
      <c r="P53" s="40">
        <f t="shared" si="17"/>
        <v>3531685.178621572</v>
      </c>
      <c r="Q53" s="241">
        <f t="shared" si="16"/>
        <v>0</v>
      </c>
      <c r="R53" s="243"/>
      <c r="S53" s="243"/>
      <c r="X53" s="144"/>
      <c r="Y53" s="3"/>
      <c r="AC53" s="12"/>
    </row>
    <row r="54" spans="2:29" x14ac:dyDescent="0.2">
      <c r="B54" s="238">
        <v>45097</v>
      </c>
      <c r="C54" s="225">
        <v>0.7</v>
      </c>
      <c r="D54" s="235">
        <f t="shared" si="15"/>
        <v>9.9366823147550978E-2</v>
      </c>
      <c r="E54" s="49">
        <f t="shared" si="18"/>
        <v>25338539.902625501</v>
      </c>
      <c r="F54" s="236">
        <f t="shared" si="19"/>
        <v>1971739.0973744979</v>
      </c>
      <c r="G54" s="230">
        <f t="shared" si="20"/>
        <v>27310279</v>
      </c>
      <c r="H54" s="230">
        <f t="shared" si="21"/>
        <v>8462701.7666516006</v>
      </c>
      <c r="I54" s="187"/>
      <c r="J54" s="6"/>
      <c r="K54" s="5"/>
      <c r="L54" s="38">
        <v>45097</v>
      </c>
      <c r="M54" s="173">
        <v>27310279</v>
      </c>
      <c r="N54" s="39">
        <v>45107</v>
      </c>
      <c r="O54" s="153">
        <v>30</v>
      </c>
      <c r="P54" s="40">
        <f t="shared" si="17"/>
        <v>1971739.0973744979</v>
      </c>
      <c r="Q54" s="241">
        <f t="shared" si="16"/>
        <v>0</v>
      </c>
      <c r="R54" s="243"/>
      <c r="S54" s="243"/>
      <c r="X54" s="144"/>
      <c r="Y54" s="3"/>
      <c r="AC54" s="12"/>
    </row>
    <row r="55" spans="2:29" x14ac:dyDescent="0.2">
      <c r="B55" s="238">
        <v>45127</v>
      </c>
      <c r="C55" s="225">
        <v>0.7</v>
      </c>
      <c r="D55" s="235">
        <f t="shared" si="15"/>
        <v>3.3187065751574901E-2</v>
      </c>
      <c r="E55" s="49">
        <f t="shared" si="18"/>
        <v>8462701.7666516006</v>
      </c>
      <c r="F55" s="236">
        <f t="shared" si="19"/>
        <v>493657.60305467667</v>
      </c>
      <c r="G55" s="230">
        <f t="shared" si="20"/>
        <v>8956359.3697062768</v>
      </c>
      <c r="H55" s="230">
        <f t="shared" si="21"/>
        <v>0</v>
      </c>
      <c r="I55" s="187"/>
      <c r="J55" s="6"/>
      <c r="K55" s="5"/>
      <c r="L55" s="38">
        <v>45127</v>
      </c>
      <c r="M55" s="173">
        <v>25124033</v>
      </c>
      <c r="N55" s="39">
        <v>44773</v>
      </c>
      <c r="O55" s="153">
        <v>30</v>
      </c>
      <c r="P55" s="40">
        <f>+H54*(C55)/360*O55</f>
        <v>493657.60305467667</v>
      </c>
      <c r="Q55" s="241">
        <f>+Q54+P55-F55</f>
        <v>0</v>
      </c>
      <c r="R55" s="243"/>
      <c r="S55" s="243"/>
      <c r="X55" s="144"/>
      <c r="Y55" s="3"/>
      <c r="AC55" s="12"/>
    </row>
    <row r="56" spans="2:29" x14ac:dyDescent="0.2">
      <c r="B56" s="238">
        <v>45159</v>
      </c>
      <c r="C56" s="225">
        <v>0.7</v>
      </c>
      <c r="D56" s="235">
        <f t="shared" si="15"/>
        <v>0</v>
      </c>
      <c r="E56" s="49">
        <f t="shared" si="18"/>
        <v>0</v>
      </c>
      <c r="F56" s="236">
        <f t="shared" si="19"/>
        <v>0</v>
      </c>
      <c r="G56" s="230">
        <f t="shared" si="20"/>
        <v>0</v>
      </c>
      <c r="H56" s="230">
        <f t="shared" si="21"/>
        <v>0</v>
      </c>
      <c r="I56" s="187"/>
      <c r="J56" s="6"/>
      <c r="K56" s="5"/>
      <c r="L56" s="38">
        <v>45159</v>
      </c>
      <c r="M56" s="173">
        <v>25029529</v>
      </c>
      <c r="N56" s="39">
        <v>44804</v>
      </c>
      <c r="O56" s="153">
        <v>31</v>
      </c>
      <c r="P56" s="40">
        <f>+H55*(C56)/360*O56</f>
        <v>0</v>
      </c>
      <c r="Q56" s="241">
        <f>+Q55+P56-F56</f>
        <v>0</v>
      </c>
      <c r="R56" s="243"/>
      <c r="S56" s="243"/>
      <c r="X56" s="144"/>
      <c r="Y56" s="3"/>
      <c r="AC56" s="12"/>
    </row>
    <row r="57" spans="2:29" x14ac:dyDescent="0.2">
      <c r="B57" s="238">
        <v>45189</v>
      </c>
      <c r="C57" s="225">
        <v>0.7</v>
      </c>
      <c r="D57" s="235">
        <f t="shared" si="15"/>
        <v>0</v>
      </c>
      <c r="E57" s="49">
        <f t="shared" si="18"/>
        <v>0</v>
      </c>
      <c r="F57" s="236">
        <f t="shared" si="19"/>
        <v>0</v>
      </c>
      <c r="G57" s="230">
        <f t="shared" si="20"/>
        <v>0</v>
      </c>
      <c r="H57" s="230">
        <f t="shared" si="21"/>
        <v>0</v>
      </c>
      <c r="I57" s="187"/>
      <c r="J57" s="6"/>
      <c r="K57" s="5"/>
      <c r="L57" s="38">
        <v>45189</v>
      </c>
      <c r="M57" s="173">
        <v>20291523</v>
      </c>
      <c r="N57" s="39">
        <v>44834</v>
      </c>
      <c r="O57" s="153">
        <v>30</v>
      </c>
      <c r="P57" s="40">
        <f>+H56*(C57)/360*O57</f>
        <v>0</v>
      </c>
      <c r="Q57" s="241">
        <f>+Q56+P57-F57</f>
        <v>0</v>
      </c>
      <c r="R57" s="243"/>
      <c r="S57" s="243"/>
      <c r="X57" s="144"/>
      <c r="Y57" s="3"/>
      <c r="AC57" s="12"/>
    </row>
    <row r="58" spans="2:29" x14ac:dyDescent="0.2">
      <c r="B58" s="238">
        <v>45219</v>
      </c>
      <c r="C58" s="225">
        <v>0.7</v>
      </c>
      <c r="D58" s="235">
        <f t="shared" si="15"/>
        <v>0</v>
      </c>
      <c r="E58" s="49">
        <f t="shared" si="18"/>
        <v>0</v>
      </c>
      <c r="F58" s="236">
        <f t="shared" si="19"/>
        <v>0</v>
      </c>
      <c r="G58" s="230">
        <f t="shared" si="20"/>
        <v>0</v>
      </c>
      <c r="H58" s="230">
        <f t="shared" si="21"/>
        <v>0</v>
      </c>
      <c r="I58" s="187"/>
      <c r="J58" s="6"/>
      <c r="K58" s="5"/>
      <c r="L58" s="42">
        <v>45219</v>
      </c>
      <c r="M58" s="176">
        <v>18712794</v>
      </c>
      <c r="N58" s="43">
        <v>44865</v>
      </c>
      <c r="O58" s="245">
        <v>31</v>
      </c>
      <c r="P58" s="44">
        <f>+H57*(C58)/360*O58</f>
        <v>0</v>
      </c>
      <c r="Q58" s="242">
        <f>+Q54+P58-F58</f>
        <v>0</v>
      </c>
      <c r="R58" s="243"/>
      <c r="S58" s="243"/>
      <c r="X58" s="144"/>
      <c r="Y58" s="3"/>
      <c r="AC58" s="12"/>
    </row>
    <row r="59" spans="2:29" x14ac:dyDescent="0.2">
      <c r="B59" s="67"/>
      <c r="C59" s="68"/>
      <c r="D59" s="125">
        <f>SUM(D46:D58)</f>
        <v>1</v>
      </c>
      <c r="E59" s="70">
        <f>SUM(E46:E58)</f>
        <v>255000000.00000003</v>
      </c>
      <c r="F59" s="70">
        <f>SUM(F46:F58)</f>
        <v>99226422.369706258</v>
      </c>
      <c r="G59" s="70">
        <f>SUM(G46:G58)</f>
        <v>354226422.36970627</v>
      </c>
      <c r="H59" s="72"/>
      <c r="I59" s="188"/>
      <c r="J59" s="6"/>
      <c r="K59" s="6"/>
      <c r="L59" s="35"/>
      <c r="M59" s="173"/>
      <c r="N59" s="175"/>
      <c r="O59" s="174"/>
      <c r="P59" s="41"/>
      <c r="Q59" s="243"/>
      <c r="R59" s="155"/>
      <c r="S59" s="155"/>
    </row>
    <row r="60" spans="2:29" x14ac:dyDescent="0.2">
      <c r="E60" s="129"/>
      <c r="F60" s="52"/>
      <c r="G60" s="52"/>
      <c r="I60" s="6"/>
      <c r="L60" s="175"/>
      <c r="M60" s="173"/>
      <c r="N60" s="175"/>
      <c r="O60" s="145"/>
      <c r="P60" s="41"/>
      <c r="Q60" s="170"/>
      <c r="R60" s="155"/>
      <c r="S60" s="155"/>
    </row>
    <row r="61" spans="2:29" hidden="1" x14ac:dyDescent="0.2">
      <c r="M61" s="173"/>
      <c r="N61" s="231"/>
      <c r="O61" s="207"/>
      <c r="P61" s="41"/>
      <c r="Q61" s="155"/>
      <c r="R61" s="155"/>
      <c r="S61" s="155"/>
    </row>
    <row r="63" spans="2:29" ht="12.75" customHeight="1" x14ac:dyDescent="0.2"/>
    <row r="64" spans="2:29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  <row r="95" x14ac:dyDescent="0.2"/>
    <row r="96" x14ac:dyDescent="0.2"/>
    <row r="97" x14ac:dyDescent="0.2"/>
    <row r="98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</sheetData>
  <mergeCells count="10">
    <mergeCell ref="B42:H42"/>
    <mergeCell ref="B43:H43"/>
    <mergeCell ref="N43:Q43"/>
    <mergeCell ref="L1:O1"/>
    <mergeCell ref="A6:J6"/>
    <mergeCell ref="B8:E8"/>
    <mergeCell ref="B9:E10"/>
    <mergeCell ref="B21:I21"/>
    <mergeCell ref="N21:R21"/>
    <mergeCell ref="B20:I20"/>
  </mergeCells>
  <conditionalFormatting sqref="F37:H41 E59:G59 O46:O59 F24:F36">
    <cfRule type="cellIs" dxfId="3" priority="7" stopIfTrue="1" operator="equal">
      <formula>0</formula>
    </cfRule>
  </conditionalFormatting>
  <conditionalFormatting sqref="E46:E58">
    <cfRule type="cellIs" dxfId="2" priority="6" stopIfTrue="1" operator="equal">
      <formula>0</formula>
    </cfRule>
  </conditionalFormatting>
  <conditionalFormatting sqref="O24:O36">
    <cfRule type="cellIs" dxfId="1" priority="5" stopIfTrue="1" operator="equal">
      <formula>0</formula>
    </cfRule>
  </conditionalFormatting>
  <pageMargins left="0.7" right="0.7" top="0.75" bottom="0.75" header="0.3" footer="0.3"/>
  <ignoredErrors>
    <ignoredError sqref="G12 D38 C24:C26 C27:C36" unlockedFormula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5"/>
  <sheetViews>
    <sheetView showGridLines="0" workbookViewId="0">
      <selection activeCell="H5" sqref="H5"/>
    </sheetView>
  </sheetViews>
  <sheetFormatPr baseColWidth="10" defaultColWidth="0" defaultRowHeight="12.75" zeroHeight="1" x14ac:dyDescent="0.2"/>
  <cols>
    <col min="1" max="1" width="13.85546875" style="84" customWidth="1"/>
    <col min="2" max="2" width="10.7109375" style="84" bestFit="1" customWidth="1"/>
    <col min="3" max="3" width="15.42578125" style="84" customWidth="1"/>
    <col min="4" max="4" width="12.140625" style="84" customWidth="1"/>
    <col min="5" max="5" width="13.7109375" style="84" customWidth="1"/>
    <col min="6" max="6" width="17.42578125" style="84" customWidth="1"/>
    <col min="7" max="7" width="18.42578125" style="84" bestFit="1" customWidth="1"/>
    <col min="8" max="8" width="14.85546875" style="84" bestFit="1" customWidth="1"/>
    <col min="9" max="9" width="17.42578125" style="84" bestFit="1" customWidth="1"/>
    <col min="10" max="10" width="13.7109375" style="84" bestFit="1" customWidth="1"/>
    <col min="11" max="11" width="0.5703125" style="84" customWidth="1"/>
    <col min="12" max="12" width="0.28515625" style="132" customWidth="1"/>
    <col min="13" max="13" width="13.7109375" style="86" hidden="1" customWidth="1"/>
    <col min="14" max="14" width="17.42578125" style="86" hidden="1" customWidth="1"/>
    <col min="15" max="15" width="14.42578125" style="86" hidden="1" customWidth="1"/>
    <col min="16" max="16" width="12.28515625" style="86" hidden="1" customWidth="1"/>
    <col min="17" max="17" width="17.28515625" style="86" hidden="1" customWidth="1"/>
    <col min="18" max="20" width="18" style="86" hidden="1" customWidth="1"/>
    <col min="21" max="21" width="14.85546875" style="86" hidden="1" customWidth="1"/>
    <col min="22" max="22" width="18.42578125" style="86" hidden="1" customWidth="1"/>
    <col min="23" max="23" width="17.42578125" style="86" hidden="1" customWidth="1"/>
    <col min="24" max="24" width="16.42578125" style="87" hidden="1" customWidth="1"/>
    <col min="25" max="25" width="13.85546875" style="86" hidden="1" customWidth="1"/>
    <col min="26" max="26" width="14.140625" style="86" hidden="1" customWidth="1"/>
    <col min="27" max="27" width="14.42578125" style="86" hidden="1" customWidth="1"/>
    <col min="28" max="29" width="11.7109375" style="86" hidden="1" customWidth="1"/>
    <col min="30" max="30" width="12.28515625" style="86" hidden="1" customWidth="1"/>
    <col min="31" max="31" width="16.5703125" style="88" hidden="1" customWidth="1"/>
    <col min="32" max="16384" width="11.42578125" style="84" hidden="1"/>
  </cols>
  <sheetData>
    <row r="1" spans="1:30" x14ac:dyDescent="0.2">
      <c r="I1" s="85"/>
      <c r="M1" s="291"/>
      <c r="N1" s="291"/>
      <c r="O1" s="291"/>
      <c r="P1" s="291"/>
    </row>
    <row r="2" spans="1:30" x14ac:dyDescent="0.2">
      <c r="I2" s="85"/>
      <c r="M2" s="195"/>
      <c r="N2" s="195"/>
      <c r="O2" s="195"/>
      <c r="P2" s="195"/>
    </row>
    <row r="3" spans="1:30" x14ac:dyDescent="0.2">
      <c r="I3" s="85"/>
      <c r="M3" s="195"/>
      <c r="N3" s="195"/>
      <c r="O3" s="195"/>
      <c r="P3" s="195"/>
    </row>
    <row r="4" spans="1:30" x14ac:dyDescent="0.2">
      <c r="A4" s="89"/>
      <c r="B4" s="85"/>
      <c r="C4" s="85"/>
      <c r="D4" s="85"/>
      <c r="E4" s="85"/>
      <c r="F4" s="85"/>
      <c r="G4" s="85"/>
      <c r="H4" s="85"/>
      <c r="I4" s="85"/>
      <c r="J4" s="85"/>
      <c r="K4" s="85"/>
      <c r="L4" s="133"/>
      <c r="N4" s="90"/>
      <c r="O4" s="91"/>
    </row>
    <row r="5" spans="1:30" x14ac:dyDescent="0.2">
      <c r="A5" s="89"/>
      <c r="B5" s="85"/>
      <c r="C5" s="85"/>
      <c r="D5" s="85"/>
      <c r="E5" s="85"/>
      <c r="F5" s="85"/>
      <c r="G5" s="85"/>
      <c r="H5" s="85"/>
      <c r="I5" s="85"/>
      <c r="J5" s="85"/>
      <c r="K5" s="85"/>
      <c r="L5" s="133"/>
      <c r="N5" s="90"/>
      <c r="O5" s="91"/>
    </row>
    <row r="6" spans="1:30" ht="23.25" x14ac:dyDescent="0.35">
      <c r="A6" s="278" t="s">
        <v>42</v>
      </c>
      <c r="B6" s="279"/>
      <c r="C6" s="279"/>
      <c r="D6" s="279"/>
      <c r="E6" s="279"/>
      <c r="F6" s="279"/>
      <c r="G6" s="279"/>
      <c r="H6" s="279"/>
      <c r="I6" s="279"/>
      <c r="J6" s="142"/>
      <c r="K6" s="85"/>
      <c r="L6" s="133"/>
      <c r="N6" s="90"/>
    </row>
    <row r="7" spans="1:30" ht="15.75" customHeight="1" x14ac:dyDescent="0.35">
      <c r="A7" s="192"/>
      <c r="B7" s="193"/>
      <c r="C7" s="193"/>
      <c r="D7" s="193"/>
      <c r="E7" s="193"/>
      <c r="F7" s="193"/>
      <c r="G7" s="193"/>
      <c r="H7" s="193"/>
      <c r="I7" s="193"/>
      <c r="J7" s="142"/>
      <c r="K7" s="85"/>
      <c r="L7" s="133"/>
      <c r="N7" s="90"/>
    </row>
    <row r="8" spans="1:30" ht="15" customHeight="1" x14ac:dyDescent="0.35">
      <c r="A8" s="192"/>
      <c r="B8" s="285" t="s">
        <v>31</v>
      </c>
      <c r="C8" s="285"/>
      <c r="D8" s="285"/>
      <c r="E8" s="285"/>
      <c r="F8" s="193"/>
      <c r="G8" s="193"/>
      <c r="H8" s="193"/>
      <c r="I8" s="193"/>
      <c r="J8" s="142"/>
      <c r="K8" s="85"/>
      <c r="L8" s="133"/>
      <c r="N8" s="90"/>
    </row>
    <row r="9" spans="1:30" ht="23.25" customHeight="1" x14ac:dyDescent="0.35">
      <c r="A9" s="192"/>
      <c r="B9" s="270" t="s">
        <v>38</v>
      </c>
      <c r="C9" s="271"/>
      <c r="D9" s="271"/>
      <c r="E9" s="272"/>
      <c r="F9" s="193"/>
      <c r="G9" s="193"/>
      <c r="H9" s="193"/>
      <c r="I9" s="193"/>
      <c r="J9" s="142"/>
      <c r="K9" s="85"/>
      <c r="L9" s="133"/>
      <c r="N9" s="90"/>
    </row>
    <row r="10" spans="1:30" ht="14.25" customHeight="1" x14ac:dyDescent="0.35">
      <c r="A10" s="192"/>
      <c r="B10" s="293"/>
      <c r="C10" s="294"/>
      <c r="D10" s="294"/>
      <c r="E10" s="295"/>
      <c r="F10" s="193"/>
      <c r="G10" s="193"/>
      <c r="H10" s="193"/>
      <c r="I10" s="193"/>
      <c r="J10" s="142"/>
      <c r="K10" s="85"/>
      <c r="L10" s="133"/>
      <c r="N10" s="90"/>
    </row>
    <row r="11" spans="1:30" ht="13.5" customHeight="1" x14ac:dyDescent="0.35">
      <c r="A11" s="192"/>
      <c r="B11" s="185"/>
      <c r="C11" s="185"/>
      <c r="D11" s="185"/>
      <c r="E11" s="185"/>
      <c r="F11" s="193"/>
      <c r="G11" s="193"/>
      <c r="H11" s="193"/>
      <c r="I11" s="193"/>
      <c r="J11" s="142"/>
      <c r="K11" s="85"/>
      <c r="L11" s="133"/>
      <c r="N11" s="90"/>
    </row>
    <row r="12" spans="1:30" x14ac:dyDescent="0.2">
      <c r="A12" s="89"/>
      <c r="B12" s="85"/>
      <c r="C12" s="22" t="s">
        <v>12</v>
      </c>
      <c r="D12" s="80">
        <v>4300000</v>
      </c>
      <c r="E12" s="9"/>
      <c r="F12" s="22" t="s">
        <v>13</v>
      </c>
      <c r="G12" s="81">
        <v>0.97842300000000004</v>
      </c>
      <c r="H12" s="1"/>
      <c r="J12" s="85"/>
      <c r="K12" s="85"/>
      <c r="L12" s="133"/>
      <c r="M12" s="292"/>
      <c r="N12" s="292"/>
      <c r="O12" s="292"/>
      <c r="P12" s="292"/>
      <c r="Q12" s="292"/>
      <c r="R12" s="292"/>
      <c r="S12" s="292"/>
      <c r="T12" s="292"/>
      <c r="U12" s="292"/>
      <c r="V12" s="292"/>
      <c r="W12" s="292"/>
      <c r="X12" s="292"/>
      <c r="Y12" s="292"/>
      <c r="Z12" s="117"/>
    </row>
    <row r="13" spans="1:30" x14ac:dyDescent="0.2">
      <c r="A13" s="89"/>
      <c r="B13" s="85"/>
      <c r="C13" s="22"/>
      <c r="D13" s="239"/>
      <c r="E13" s="148"/>
      <c r="F13" s="147" t="s">
        <v>7</v>
      </c>
      <c r="G13" s="119">
        <f>+V45/Q14</f>
        <v>0.99999989654532984</v>
      </c>
      <c r="H13" s="189"/>
      <c r="I13" s="183"/>
      <c r="J13" s="85"/>
      <c r="K13" s="85"/>
      <c r="L13" s="133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87"/>
      <c r="AD13" s="88"/>
    </row>
    <row r="14" spans="1:30" x14ac:dyDescent="0.2">
      <c r="A14" s="89"/>
      <c r="B14" s="85"/>
      <c r="C14" s="22" t="s">
        <v>9</v>
      </c>
      <c r="D14" s="23">
        <v>0.02</v>
      </c>
      <c r="E14" s="9"/>
      <c r="F14" s="146" t="s">
        <v>10</v>
      </c>
      <c r="G14" s="83">
        <f>+V39</f>
        <v>9.5666666666666664</v>
      </c>
      <c r="H14" s="191"/>
      <c r="J14" s="92"/>
      <c r="K14" s="85"/>
      <c r="L14" s="133"/>
      <c r="M14" s="10"/>
      <c r="N14" s="12"/>
      <c r="O14" s="12"/>
      <c r="P14" s="13" t="s">
        <v>12</v>
      </c>
      <c r="Q14" s="14">
        <v>4300000</v>
      </c>
      <c r="R14" s="15"/>
      <c r="S14" s="15"/>
      <c r="T14" s="15"/>
      <c r="U14" s="15"/>
      <c r="V14" s="15"/>
      <c r="W14" s="16"/>
      <c r="X14" s="10"/>
      <c r="Y14" s="87"/>
      <c r="Z14" s="93"/>
      <c r="AD14" s="88"/>
    </row>
    <row r="15" spans="1:30" x14ac:dyDescent="0.2">
      <c r="A15" s="89"/>
      <c r="B15" s="85"/>
      <c r="C15" s="22" t="s">
        <v>16</v>
      </c>
      <c r="D15" s="23">
        <v>0.71</v>
      </c>
      <c r="E15" s="9"/>
      <c r="F15" s="22" t="s">
        <v>11</v>
      </c>
      <c r="G15" s="249">
        <f>+XIRR(H23:H36,B23:B36)</f>
        <v>0.99034909009933481</v>
      </c>
      <c r="H15" s="25"/>
      <c r="J15" s="85"/>
      <c r="K15" s="85"/>
      <c r="L15" s="133"/>
      <c r="M15" s="10"/>
      <c r="N15" s="12"/>
      <c r="O15" s="12"/>
      <c r="P15" s="18" t="s">
        <v>13</v>
      </c>
      <c r="Q15" s="19">
        <f>+G12</f>
        <v>0.97842300000000004</v>
      </c>
      <c r="R15" s="20"/>
      <c r="S15" s="20"/>
      <c r="T15" s="20"/>
      <c r="U15" s="20"/>
      <c r="V15" s="20"/>
      <c r="W15" s="20"/>
      <c r="X15" s="10"/>
      <c r="Y15" s="87"/>
      <c r="Z15" s="93"/>
      <c r="AD15" s="88"/>
    </row>
    <row r="16" spans="1:30" x14ac:dyDescent="0.2">
      <c r="A16" s="89"/>
      <c r="B16" s="85"/>
      <c r="C16" s="22" t="s">
        <v>17</v>
      </c>
      <c r="D16" s="23">
        <v>0.81</v>
      </c>
      <c r="E16" s="9"/>
      <c r="F16" s="22" t="s">
        <v>14</v>
      </c>
      <c r="G16" s="249">
        <f>+((1+G15)^(1/12)-1)*12</f>
        <v>0.70843339898998892</v>
      </c>
      <c r="H16" s="17"/>
      <c r="J16" s="85"/>
      <c r="K16" s="85"/>
      <c r="L16" s="133"/>
      <c r="M16" s="10"/>
      <c r="N16" s="12"/>
      <c r="O16" s="12"/>
      <c r="P16" s="21"/>
      <c r="Q16" s="20"/>
      <c r="R16" s="20"/>
      <c r="S16" s="20"/>
      <c r="T16" s="20"/>
      <c r="U16" s="20"/>
      <c r="V16" s="20"/>
      <c r="W16" s="20"/>
      <c r="X16" s="10"/>
      <c r="Y16" s="87"/>
      <c r="Z16" s="93"/>
      <c r="AD16" s="88"/>
    </row>
    <row r="17" spans="1:30" x14ac:dyDescent="0.2">
      <c r="A17" s="89"/>
      <c r="B17" s="85"/>
      <c r="E17" s="9"/>
      <c r="F17" s="22" t="s">
        <v>15</v>
      </c>
      <c r="G17" s="25">
        <f>+(G16-D38)</f>
        <v>1.0333398989988862E-2</v>
      </c>
      <c r="H17" s="121" t="s">
        <v>34</v>
      </c>
      <c r="J17" s="85"/>
      <c r="K17" s="85"/>
      <c r="L17" s="133"/>
      <c r="M17" s="10"/>
      <c r="N17" s="12"/>
      <c r="O17" s="12"/>
      <c r="P17" s="21"/>
      <c r="Q17" s="20"/>
      <c r="R17" s="20"/>
      <c r="S17" s="20"/>
      <c r="T17" s="20"/>
      <c r="U17" s="20"/>
      <c r="V17" s="20"/>
      <c r="W17" s="20"/>
      <c r="X17" s="10"/>
      <c r="Y17" s="87"/>
      <c r="Z17" s="93"/>
      <c r="AD17" s="88"/>
    </row>
    <row r="18" spans="1:30" x14ac:dyDescent="0.2">
      <c r="A18" s="89"/>
      <c r="B18" s="85"/>
      <c r="C18" s="22"/>
      <c r="D18" s="23"/>
      <c r="E18" s="9"/>
      <c r="F18" s="22" t="s">
        <v>14</v>
      </c>
      <c r="G18" s="25">
        <f>+((1+G12)^(1/12)-1)*12</f>
        <v>0.70207020372471618</v>
      </c>
      <c r="H18" s="24" t="s">
        <v>19</v>
      </c>
      <c r="J18" s="85"/>
      <c r="K18" s="85"/>
      <c r="L18" s="133"/>
      <c r="M18" s="10"/>
      <c r="N18" s="12"/>
      <c r="O18" s="12"/>
      <c r="P18" s="21"/>
      <c r="Q18" s="20"/>
      <c r="R18" s="20"/>
      <c r="S18" s="20"/>
      <c r="T18" s="20"/>
      <c r="U18" s="20"/>
      <c r="V18" s="20"/>
      <c r="W18" s="20"/>
      <c r="X18" s="10"/>
      <c r="Y18" s="87"/>
      <c r="Z18" s="93"/>
      <c r="AD18" s="88"/>
    </row>
    <row r="19" spans="1:30" x14ac:dyDescent="0.2">
      <c r="A19" s="89"/>
      <c r="B19" s="85"/>
      <c r="C19" s="22"/>
      <c r="D19" s="23"/>
      <c r="E19" s="9"/>
      <c r="F19" s="22"/>
      <c r="G19" s="25"/>
      <c r="H19" s="24"/>
      <c r="J19" s="85"/>
      <c r="K19" s="85"/>
      <c r="L19" s="133"/>
      <c r="M19" s="10"/>
      <c r="N19" s="12"/>
      <c r="O19" s="12"/>
      <c r="P19" s="21"/>
      <c r="Q19" s="20"/>
      <c r="R19" s="20"/>
      <c r="S19" s="20"/>
      <c r="T19" s="20"/>
      <c r="U19" s="20"/>
      <c r="V19" s="20"/>
      <c r="W19" s="20"/>
      <c r="X19" s="10"/>
      <c r="Y19" s="87"/>
      <c r="Z19" s="93"/>
      <c r="AD19" s="88"/>
    </row>
    <row r="20" spans="1:30" ht="15" x14ac:dyDescent="0.2">
      <c r="A20" s="89"/>
      <c r="B20" s="277" t="s">
        <v>37</v>
      </c>
      <c r="C20" s="277"/>
      <c r="D20" s="277"/>
      <c r="E20" s="277"/>
      <c r="F20" s="277"/>
      <c r="G20" s="277"/>
      <c r="H20" s="277"/>
      <c r="I20" s="277"/>
      <c r="J20" s="85"/>
      <c r="K20" s="85"/>
      <c r="L20" s="133"/>
      <c r="M20" s="10"/>
      <c r="N20" s="12"/>
      <c r="O20" s="12"/>
      <c r="P20" s="21"/>
      <c r="Q20" s="20"/>
      <c r="R20" s="20"/>
      <c r="S20" s="20"/>
      <c r="T20" s="20"/>
      <c r="U20" s="20"/>
      <c r="V20" s="20"/>
      <c r="W20" s="20"/>
      <c r="X20" s="10"/>
      <c r="Y20" s="87"/>
      <c r="Z20" s="93"/>
      <c r="AD20" s="88"/>
    </row>
    <row r="21" spans="1:30" x14ac:dyDescent="0.2">
      <c r="A21" s="89"/>
      <c r="B21" s="281" t="s">
        <v>27</v>
      </c>
      <c r="C21" s="282"/>
      <c r="D21" s="282"/>
      <c r="E21" s="282"/>
      <c r="F21" s="282"/>
      <c r="G21" s="282"/>
      <c r="H21" s="282"/>
      <c r="I21" s="283"/>
      <c r="J21" s="85"/>
      <c r="K21" s="85"/>
      <c r="L21" s="133"/>
      <c r="M21" s="10"/>
      <c r="N21" s="10"/>
      <c r="O21" s="284" t="s">
        <v>18</v>
      </c>
      <c r="P21" s="284"/>
      <c r="Q21" s="284"/>
      <c r="R21" s="284"/>
      <c r="S21" s="284"/>
      <c r="T21" s="26"/>
      <c r="U21" s="26"/>
      <c r="V21" s="26"/>
      <c r="W21" s="26"/>
      <c r="X21" s="12"/>
      <c r="Y21" s="88"/>
      <c r="Z21" s="88"/>
      <c r="AA21" s="88"/>
      <c r="AB21" s="88"/>
      <c r="AC21" s="88"/>
      <c r="AD21" s="88"/>
    </row>
    <row r="22" spans="1:30" ht="25.5" x14ac:dyDescent="0.2">
      <c r="A22" s="94"/>
      <c r="B22" s="64" t="s">
        <v>0</v>
      </c>
      <c r="C22" s="64" t="s">
        <v>32</v>
      </c>
      <c r="D22" s="65" t="s">
        <v>28</v>
      </c>
      <c r="E22" s="65" t="s">
        <v>6</v>
      </c>
      <c r="F22" s="66" t="s">
        <v>1</v>
      </c>
      <c r="G22" s="59" t="s">
        <v>2</v>
      </c>
      <c r="H22" s="66" t="s">
        <v>4</v>
      </c>
      <c r="I22" s="66" t="s">
        <v>8</v>
      </c>
      <c r="J22" s="95"/>
      <c r="K22" s="96"/>
      <c r="L22" s="134"/>
      <c r="M22" s="28" t="s">
        <v>0</v>
      </c>
      <c r="N22" s="29" t="s">
        <v>20</v>
      </c>
      <c r="O22" s="28" t="s">
        <v>23</v>
      </c>
      <c r="P22" s="28" t="s">
        <v>3</v>
      </c>
      <c r="Q22" s="28" t="s">
        <v>21</v>
      </c>
      <c r="R22" s="28" t="s">
        <v>22</v>
      </c>
      <c r="S22" s="29" t="s">
        <v>36</v>
      </c>
      <c r="T22" s="30" t="s">
        <v>3</v>
      </c>
      <c r="U22" s="30" t="s">
        <v>24</v>
      </c>
      <c r="V22" s="30" t="s">
        <v>5</v>
      </c>
      <c r="W22" s="30"/>
      <c r="X22" s="29" t="s">
        <v>20</v>
      </c>
      <c r="Y22" s="88"/>
      <c r="Z22" s="88"/>
      <c r="AA22" s="88"/>
      <c r="AB22" s="88"/>
      <c r="AC22" s="88"/>
      <c r="AD22" s="88"/>
    </row>
    <row r="23" spans="1:30" x14ac:dyDescent="0.2">
      <c r="A23" s="89"/>
      <c r="B23" s="73">
        <v>44840</v>
      </c>
      <c r="C23" s="73"/>
      <c r="D23" s="74"/>
      <c r="E23" s="75"/>
      <c r="F23" s="76"/>
      <c r="G23" s="76"/>
      <c r="H23" s="77">
        <f>+D12*G13*-1</f>
        <v>-4299999.5551449182</v>
      </c>
      <c r="I23" s="76">
        <f>+D12</f>
        <v>4300000</v>
      </c>
      <c r="J23" s="97"/>
      <c r="K23" s="85"/>
      <c r="L23" s="133"/>
      <c r="M23" s="33">
        <f>+B23</f>
        <v>44840</v>
      </c>
      <c r="N23" s="151"/>
      <c r="O23" s="32">
        <v>44773</v>
      </c>
      <c r="P23" s="152"/>
      <c r="Q23" s="31"/>
      <c r="R23" s="33"/>
      <c r="S23" s="33"/>
      <c r="T23" s="34">
        <f>+M23-$B$23</f>
        <v>0</v>
      </c>
      <c r="U23" s="35"/>
      <c r="V23" s="35"/>
      <c r="W23" s="35"/>
      <c r="X23" s="12"/>
      <c r="Y23" s="88"/>
      <c r="Z23" s="88"/>
      <c r="AA23" s="88"/>
      <c r="AB23" s="88"/>
      <c r="AC23" s="88"/>
      <c r="AD23" s="88"/>
    </row>
    <row r="24" spans="1:30" x14ac:dyDescent="0.2">
      <c r="A24" s="98"/>
      <c r="B24" s="73">
        <v>44854</v>
      </c>
      <c r="C24" s="261">
        <f t="shared" ref="C24:C35" si="0">+$D$38</f>
        <v>0.69810000000000005</v>
      </c>
      <c r="D24" s="78">
        <f>IF(C24+$D$14&lt;$D$15,$D$15,IF(C24+$D$14&gt;$D$16,$D$16,C24+$D$14))</f>
        <v>0.71810000000000007</v>
      </c>
      <c r="E24" s="48">
        <f>+F24/$I$23</f>
        <v>0</v>
      </c>
      <c r="F24" s="77">
        <f>+IF(I23&gt;0,MIN(N24-G24,I23),0)</f>
        <v>0</v>
      </c>
      <c r="G24" s="79">
        <f>+MIN($N24,R23+Q24)</f>
        <v>0</v>
      </c>
      <c r="H24" s="76">
        <f>+F24+G24</f>
        <v>0</v>
      </c>
      <c r="I24" s="76">
        <f>+I23-F24+S24</f>
        <v>4300000</v>
      </c>
      <c r="J24" s="99"/>
      <c r="K24" s="85"/>
      <c r="L24" s="133"/>
      <c r="M24" s="38">
        <f>+B24</f>
        <v>44854</v>
      </c>
      <c r="N24" s="173">
        <f>+X24*$U$45</f>
        <v>0</v>
      </c>
      <c r="O24" s="39">
        <v>44865</v>
      </c>
      <c r="P24" s="153">
        <v>90</v>
      </c>
      <c r="Q24" s="40">
        <f>+I23*(D24)/360*P24</f>
        <v>771957.50000000012</v>
      </c>
      <c r="R24" s="40">
        <f>+R23+Q24-G24-S24</f>
        <v>771957.50000000012</v>
      </c>
      <c r="S24" s="40">
        <f>+IF(N24=0,0,Q24+R23-G24)</f>
        <v>0</v>
      </c>
      <c r="T24" s="34">
        <f>+M24-$B$23</f>
        <v>14</v>
      </c>
      <c r="U24" s="41">
        <f>+H24/(1+$G$15)^(T24/360)</f>
        <v>0</v>
      </c>
      <c r="V24" s="41">
        <f>+U24*T24</f>
        <v>0</v>
      </c>
      <c r="W24" s="190">
        <v>108228477</v>
      </c>
      <c r="X24" s="237">
        <f>+W24-'VDF A teórico'!H24</f>
        <v>0</v>
      </c>
      <c r="Y24" s="155"/>
      <c r="Z24" s="88"/>
      <c r="AA24" s="88"/>
      <c r="AB24" s="88"/>
      <c r="AC24" s="88"/>
      <c r="AD24" s="88"/>
    </row>
    <row r="25" spans="1:30" x14ac:dyDescent="0.2">
      <c r="A25" s="98"/>
      <c r="B25" s="73">
        <v>44887</v>
      </c>
      <c r="C25" s="261">
        <f t="shared" si="0"/>
        <v>0.69810000000000005</v>
      </c>
      <c r="D25" s="78">
        <f>IF(C25+$D$14&lt;$D$15,$D$15,IF(C25+$D$14&gt;$D$16,$D$16,C25+$D$14))</f>
        <v>0.71810000000000007</v>
      </c>
      <c r="E25" s="48">
        <f>+F25/$I$23</f>
        <v>0</v>
      </c>
      <c r="F25" s="77">
        <f>+IF(I24&gt;0,MIN(N25-G25,I24),0)</f>
        <v>0</v>
      </c>
      <c r="G25" s="79">
        <f>+MIN($N25,R24+Q25)</f>
        <v>0</v>
      </c>
      <c r="H25" s="76">
        <f>+F25+G25</f>
        <v>0</v>
      </c>
      <c r="I25" s="76">
        <f>+I24-F25+S25</f>
        <v>4300000</v>
      </c>
      <c r="J25" s="99"/>
      <c r="K25" s="85"/>
      <c r="L25" s="133"/>
      <c r="M25" s="38">
        <f t="shared" ref="M25:M31" si="1">+B25</f>
        <v>44887</v>
      </c>
      <c r="N25" s="173">
        <f t="shared" ref="N25:N35" si="2">+X25*$U$45</f>
        <v>0</v>
      </c>
      <c r="O25" s="39">
        <v>44895</v>
      </c>
      <c r="P25" s="153">
        <v>30</v>
      </c>
      <c r="Q25" s="40">
        <f>+I24*(D25)/360*P25</f>
        <v>257319.16666666669</v>
      </c>
      <c r="R25" s="40">
        <f>+R24+Q25-G25-S25</f>
        <v>1029276.6666666667</v>
      </c>
      <c r="S25" s="40">
        <f>+IF(N25=0,0,Q25+R24-G25)</f>
        <v>0</v>
      </c>
      <c r="T25" s="34">
        <f>+M25-$B$23</f>
        <v>47</v>
      </c>
      <c r="U25" s="41">
        <f>+H25/(1+$G$15)^(T25/360)</f>
        <v>0</v>
      </c>
      <c r="V25" s="41">
        <f>+U25*T25</f>
        <v>0</v>
      </c>
      <c r="W25" s="190">
        <v>31242487</v>
      </c>
      <c r="X25" s="237">
        <f>+W25-'VDF A teórico'!H25</f>
        <v>0</v>
      </c>
      <c r="Y25" s="155"/>
      <c r="Z25" s="88"/>
      <c r="AA25" s="88"/>
      <c r="AB25" s="88"/>
      <c r="AC25" s="88"/>
      <c r="AD25" s="88"/>
    </row>
    <row r="26" spans="1:30" x14ac:dyDescent="0.2">
      <c r="A26" s="98"/>
      <c r="B26" s="73">
        <v>44915</v>
      </c>
      <c r="C26" s="261">
        <f t="shared" si="0"/>
        <v>0.69810000000000005</v>
      </c>
      <c r="D26" s="78">
        <f>IF(C26+$D$14&lt;$D$15,$D$15,IF(C26+$D$14&gt;$D$16,$D$16,C26+$D$14))</f>
        <v>0.71810000000000007</v>
      </c>
      <c r="E26" s="48">
        <f t="shared" ref="E26:E35" si="3">+F26/$I$23</f>
        <v>0</v>
      </c>
      <c r="F26" s="77">
        <f t="shared" ref="F26:F35" si="4">+IF(I25&gt;0,MIN(N26-G26,I25),0)</f>
        <v>0</v>
      </c>
      <c r="G26" s="79">
        <f t="shared" ref="G26:G35" si="5">+MIN($N26,R25+Q26)</f>
        <v>0</v>
      </c>
      <c r="H26" s="76">
        <f t="shared" ref="H26:H35" si="6">+F26+G26</f>
        <v>0</v>
      </c>
      <c r="I26" s="76">
        <f t="shared" ref="I26:I35" si="7">+I25-F26+S26</f>
        <v>4300000</v>
      </c>
      <c r="J26" s="99"/>
      <c r="K26" s="85"/>
      <c r="L26" s="133"/>
      <c r="M26" s="38">
        <f t="shared" si="1"/>
        <v>44915</v>
      </c>
      <c r="N26" s="173">
        <f t="shared" si="2"/>
        <v>0</v>
      </c>
      <c r="O26" s="39">
        <v>44926</v>
      </c>
      <c r="P26" s="153">
        <v>30</v>
      </c>
      <c r="Q26" s="40">
        <f>+I25*(D26)/360*P26</f>
        <v>257319.16666666669</v>
      </c>
      <c r="R26" s="40">
        <f>+R25+Q26-G26-S26</f>
        <v>1286595.8333333335</v>
      </c>
      <c r="S26" s="40">
        <f>+IF(N26=0,0,Q26+R25-G26)</f>
        <v>0</v>
      </c>
      <c r="T26" s="34">
        <f t="shared" ref="T26:T35" si="8">+M26-$B$23</f>
        <v>75</v>
      </c>
      <c r="U26" s="41">
        <f t="shared" ref="U26:U35" si="9">+H26/(1+$G$15)^(T26/360)</f>
        <v>0</v>
      </c>
      <c r="V26" s="41">
        <f t="shared" ref="V26:V35" si="10">+U26*T26</f>
        <v>0</v>
      </c>
      <c r="W26" s="190">
        <v>30494010</v>
      </c>
      <c r="X26" s="237">
        <f>+W26-'VDF A teórico'!H26</f>
        <v>0</v>
      </c>
      <c r="Y26" s="155"/>
      <c r="Z26" s="88"/>
      <c r="AA26" s="88"/>
      <c r="AB26" s="88"/>
      <c r="AC26" s="88"/>
      <c r="AD26" s="88"/>
    </row>
    <row r="27" spans="1:30" x14ac:dyDescent="0.2">
      <c r="A27" s="98"/>
      <c r="B27" s="73">
        <v>44946</v>
      </c>
      <c r="C27" s="261">
        <f t="shared" si="0"/>
        <v>0.69810000000000005</v>
      </c>
      <c r="D27" s="78">
        <f>IF(C27+$D$14&lt;$D$15,$D$15,IF(C27+$D$14&gt;$D$16,$D$16,C27+$D$14))</f>
        <v>0.71810000000000007</v>
      </c>
      <c r="E27" s="48">
        <f t="shared" si="3"/>
        <v>0</v>
      </c>
      <c r="F27" s="77">
        <f t="shared" si="4"/>
        <v>0</v>
      </c>
      <c r="G27" s="79">
        <f t="shared" si="5"/>
        <v>0</v>
      </c>
      <c r="H27" s="76">
        <f t="shared" si="6"/>
        <v>0</v>
      </c>
      <c r="I27" s="76">
        <f t="shared" si="7"/>
        <v>4300000</v>
      </c>
      <c r="J27" s="99"/>
      <c r="K27" s="85"/>
      <c r="L27" s="133"/>
      <c r="M27" s="38">
        <f t="shared" si="1"/>
        <v>44946</v>
      </c>
      <c r="N27" s="173">
        <f t="shared" si="2"/>
        <v>0</v>
      </c>
      <c r="O27" s="39">
        <v>44957</v>
      </c>
      <c r="P27" s="153">
        <v>30</v>
      </c>
      <c r="Q27" s="40">
        <f t="shared" ref="Q27:Q35" si="11">+I26*(D27)/360*P27</f>
        <v>257319.16666666669</v>
      </c>
      <c r="R27" s="40">
        <f t="shared" ref="R27:R35" si="12">+R26+Q27-G27-S27</f>
        <v>1543915.0000000002</v>
      </c>
      <c r="S27" s="40">
        <f t="shared" ref="S27:S35" si="13">+IF(N27=0,0,Q27+R26-G27)</f>
        <v>0</v>
      </c>
      <c r="T27" s="34">
        <f t="shared" si="8"/>
        <v>106</v>
      </c>
      <c r="U27" s="41">
        <f t="shared" si="9"/>
        <v>0</v>
      </c>
      <c r="V27" s="41">
        <f t="shared" si="10"/>
        <v>0</v>
      </c>
      <c r="W27" s="190">
        <v>29923875</v>
      </c>
      <c r="X27" s="237">
        <f>+W27-'VDF A teórico'!H27</f>
        <v>0</v>
      </c>
      <c r="Y27" s="155"/>
      <c r="Z27" s="88"/>
      <c r="AA27" s="88"/>
      <c r="AB27" s="88"/>
      <c r="AC27" s="88"/>
      <c r="AD27" s="88"/>
    </row>
    <row r="28" spans="1:30" x14ac:dyDescent="0.2">
      <c r="A28" s="98"/>
      <c r="B28" s="73">
        <v>44977</v>
      </c>
      <c r="C28" s="261">
        <f t="shared" si="0"/>
        <v>0.69810000000000005</v>
      </c>
      <c r="D28" s="78">
        <f>IF(C28+$D$14&lt;$D$15,$D$15,IF(C28+$D$14&gt;$D$16,$D$16,C28+$D$14))</f>
        <v>0.71810000000000007</v>
      </c>
      <c r="E28" s="48">
        <f t="shared" si="3"/>
        <v>0</v>
      </c>
      <c r="F28" s="77">
        <f t="shared" si="4"/>
        <v>0</v>
      </c>
      <c r="G28" s="79">
        <f t="shared" si="5"/>
        <v>0</v>
      </c>
      <c r="H28" s="76">
        <f t="shared" si="6"/>
        <v>0</v>
      </c>
      <c r="I28" s="76">
        <f t="shared" si="7"/>
        <v>4300000</v>
      </c>
      <c r="J28" s="99"/>
      <c r="K28" s="85"/>
      <c r="L28" s="133"/>
      <c r="M28" s="38">
        <f t="shared" si="1"/>
        <v>44977</v>
      </c>
      <c r="N28" s="173">
        <f t="shared" si="2"/>
        <v>0</v>
      </c>
      <c r="O28" s="39">
        <v>44985</v>
      </c>
      <c r="P28" s="153">
        <v>30</v>
      </c>
      <c r="Q28" s="40">
        <f t="shared" si="11"/>
        <v>257319.16666666669</v>
      </c>
      <c r="R28" s="40">
        <f t="shared" si="12"/>
        <v>1801234.166666667</v>
      </c>
      <c r="S28" s="40">
        <f t="shared" si="13"/>
        <v>0</v>
      </c>
      <c r="T28" s="34">
        <f t="shared" si="8"/>
        <v>137</v>
      </c>
      <c r="U28" s="41">
        <f t="shared" si="9"/>
        <v>0</v>
      </c>
      <c r="V28" s="41">
        <f t="shared" si="10"/>
        <v>0</v>
      </c>
      <c r="W28" s="190">
        <v>30785314</v>
      </c>
      <c r="X28" s="237">
        <f>+W28-'VDF A teórico'!H28</f>
        <v>0</v>
      </c>
      <c r="Y28" s="155"/>
    </row>
    <row r="29" spans="1:30" x14ac:dyDescent="0.2">
      <c r="A29" s="98"/>
      <c r="B29" s="73">
        <v>45005</v>
      </c>
      <c r="C29" s="261">
        <f t="shared" si="0"/>
        <v>0.69810000000000005</v>
      </c>
      <c r="D29" s="78">
        <f t="shared" ref="D29:D35" si="14">IF(C29+$D$14&lt;$D$15,$D$15,IF(C29+$D$14&gt;$D$16,$D$16,C29+$D$14))</f>
        <v>0.71810000000000007</v>
      </c>
      <c r="E29" s="48">
        <f t="shared" si="3"/>
        <v>0</v>
      </c>
      <c r="F29" s="77">
        <f t="shared" si="4"/>
        <v>0</v>
      </c>
      <c r="G29" s="79">
        <f t="shared" si="5"/>
        <v>0</v>
      </c>
      <c r="H29" s="76">
        <f t="shared" si="6"/>
        <v>0</v>
      </c>
      <c r="I29" s="76">
        <f t="shared" si="7"/>
        <v>4300000</v>
      </c>
      <c r="J29" s="99"/>
      <c r="M29" s="38">
        <f t="shared" si="1"/>
        <v>45005</v>
      </c>
      <c r="N29" s="173">
        <f t="shared" si="2"/>
        <v>0</v>
      </c>
      <c r="O29" s="39">
        <v>45016</v>
      </c>
      <c r="P29" s="153">
        <v>30</v>
      </c>
      <c r="Q29" s="40">
        <f t="shared" si="11"/>
        <v>257319.16666666669</v>
      </c>
      <c r="R29" s="40">
        <f t="shared" si="12"/>
        <v>2058553.3333333337</v>
      </c>
      <c r="S29" s="40">
        <f t="shared" si="13"/>
        <v>0</v>
      </c>
      <c r="T29" s="34">
        <f t="shared" si="8"/>
        <v>165</v>
      </c>
      <c r="U29" s="41">
        <f t="shared" si="9"/>
        <v>0</v>
      </c>
      <c r="V29" s="41">
        <f t="shared" si="10"/>
        <v>0</v>
      </c>
      <c r="W29" s="190">
        <v>29164403</v>
      </c>
      <c r="X29" s="237">
        <f>+W29-'VDF A teórico'!H29</f>
        <v>0</v>
      </c>
      <c r="Y29" s="155"/>
      <c r="AB29" s="100"/>
    </row>
    <row r="30" spans="1:30" x14ac:dyDescent="0.2">
      <c r="A30" s="89"/>
      <c r="B30" s="73">
        <v>45036</v>
      </c>
      <c r="C30" s="261">
        <f t="shared" si="0"/>
        <v>0.69810000000000005</v>
      </c>
      <c r="D30" s="78">
        <f t="shared" si="14"/>
        <v>0.71810000000000007</v>
      </c>
      <c r="E30" s="48">
        <f t="shared" si="3"/>
        <v>0</v>
      </c>
      <c r="F30" s="77">
        <f t="shared" si="4"/>
        <v>0</v>
      </c>
      <c r="G30" s="79">
        <f t="shared" si="5"/>
        <v>0</v>
      </c>
      <c r="H30" s="76">
        <f t="shared" si="6"/>
        <v>0</v>
      </c>
      <c r="I30" s="76">
        <f t="shared" si="7"/>
        <v>4300000</v>
      </c>
      <c r="J30" s="85"/>
      <c r="M30" s="38">
        <f t="shared" si="1"/>
        <v>45036</v>
      </c>
      <c r="N30" s="173">
        <f t="shared" si="2"/>
        <v>0</v>
      </c>
      <c r="O30" s="39">
        <v>45046</v>
      </c>
      <c r="P30" s="153">
        <v>30</v>
      </c>
      <c r="Q30" s="40">
        <f t="shared" si="11"/>
        <v>257319.16666666669</v>
      </c>
      <c r="R30" s="40">
        <f t="shared" si="12"/>
        <v>2315872.5000000005</v>
      </c>
      <c r="S30" s="40">
        <f t="shared" si="13"/>
        <v>0</v>
      </c>
      <c r="T30" s="34">
        <f t="shared" si="8"/>
        <v>196</v>
      </c>
      <c r="U30" s="41">
        <f t="shared" si="9"/>
        <v>0</v>
      </c>
      <c r="V30" s="41">
        <f t="shared" si="10"/>
        <v>0</v>
      </c>
      <c r="W30" s="190">
        <v>27847600</v>
      </c>
      <c r="X30" s="237">
        <f>+W30-'VDF A teórico'!H30</f>
        <v>0</v>
      </c>
      <c r="Y30" s="155"/>
      <c r="AD30" s="88"/>
    </row>
    <row r="31" spans="1:30" x14ac:dyDescent="0.2">
      <c r="A31" s="85"/>
      <c r="B31" s="73">
        <v>45068</v>
      </c>
      <c r="C31" s="261">
        <f t="shared" si="0"/>
        <v>0.69810000000000005</v>
      </c>
      <c r="D31" s="78">
        <f t="shared" si="14"/>
        <v>0.71810000000000007</v>
      </c>
      <c r="E31" s="48">
        <f t="shared" si="3"/>
        <v>0</v>
      </c>
      <c r="F31" s="77">
        <f t="shared" si="4"/>
        <v>0</v>
      </c>
      <c r="G31" s="79">
        <f t="shared" si="5"/>
        <v>0</v>
      </c>
      <c r="H31" s="76">
        <f t="shared" si="6"/>
        <v>0</v>
      </c>
      <c r="I31" s="76">
        <f t="shared" si="7"/>
        <v>4300000</v>
      </c>
      <c r="J31" s="85"/>
      <c r="M31" s="38">
        <f t="shared" si="1"/>
        <v>45068</v>
      </c>
      <c r="N31" s="173">
        <f t="shared" si="2"/>
        <v>0</v>
      </c>
      <c r="O31" s="39">
        <v>45077</v>
      </c>
      <c r="P31" s="153">
        <v>30</v>
      </c>
      <c r="Q31" s="40">
        <f t="shared" si="11"/>
        <v>257319.16666666669</v>
      </c>
      <c r="R31" s="40">
        <f t="shared" si="12"/>
        <v>2573191.666666667</v>
      </c>
      <c r="S31" s="40">
        <f t="shared" si="13"/>
        <v>0</v>
      </c>
      <c r="T31" s="34">
        <f t="shared" si="8"/>
        <v>228</v>
      </c>
      <c r="U31" s="41">
        <f t="shared" si="9"/>
        <v>0</v>
      </c>
      <c r="V31" s="41">
        <f t="shared" si="10"/>
        <v>0</v>
      </c>
      <c r="W31" s="190">
        <v>30273618</v>
      </c>
      <c r="X31" s="237">
        <f>+W31-'VDF A teórico'!H31</f>
        <v>0</v>
      </c>
      <c r="Y31" s="155"/>
      <c r="AD31" s="88"/>
    </row>
    <row r="32" spans="1:30" x14ac:dyDescent="0.2">
      <c r="A32" s="85"/>
      <c r="B32" s="73">
        <v>45097</v>
      </c>
      <c r="C32" s="261">
        <f t="shared" si="0"/>
        <v>0.69810000000000005</v>
      </c>
      <c r="D32" s="78">
        <f t="shared" si="14"/>
        <v>0.71810000000000007</v>
      </c>
      <c r="E32" s="48">
        <f t="shared" si="3"/>
        <v>0</v>
      </c>
      <c r="F32" s="77">
        <f t="shared" si="4"/>
        <v>0</v>
      </c>
      <c r="G32" s="79">
        <f t="shared" si="5"/>
        <v>0</v>
      </c>
      <c r="H32" s="76">
        <f t="shared" si="6"/>
        <v>0</v>
      </c>
      <c r="I32" s="76">
        <f t="shared" si="7"/>
        <v>4300000</v>
      </c>
      <c r="J32" s="85"/>
      <c r="M32" s="38">
        <f>+B32</f>
        <v>45097</v>
      </c>
      <c r="N32" s="173">
        <f t="shared" si="2"/>
        <v>0</v>
      </c>
      <c r="O32" s="39">
        <v>45107</v>
      </c>
      <c r="P32" s="153">
        <v>30</v>
      </c>
      <c r="Q32" s="40">
        <f t="shared" si="11"/>
        <v>257319.16666666669</v>
      </c>
      <c r="R32" s="40">
        <f t="shared" si="12"/>
        <v>2830510.8333333335</v>
      </c>
      <c r="S32" s="40">
        <f t="shared" si="13"/>
        <v>0</v>
      </c>
      <c r="T32" s="34">
        <f t="shared" si="8"/>
        <v>257</v>
      </c>
      <c r="U32" s="41">
        <f t="shared" si="9"/>
        <v>0</v>
      </c>
      <c r="V32" s="41">
        <f t="shared" si="10"/>
        <v>0</v>
      </c>
      <c r="W32" s="190">
        <v>27310279</v>
      </c>
      <c r="X32" s="237">
        <f>+W32-'VDF A teórico'!H32</f>
        <v>0</v>
      </c>
      <c r="Y32" s="155"/>
      <c r="AD32" s="88"/>
    </row>
    <row r="33" spans="1:30" x14ac:dyDescent="0.2">
      <c r="A33" s="85"/>
      <c r="B33" s="73">
        <v>45127</v>
      </c>
      <c r="C33" s="261">
        <f t="shared" si="0"/>
        <v>0.69810000000000005</v>
      </c>
      <c r="D33" s="78">
        <f t="shared" si="14"/>
        <v>0.71810000000000007</v>
      </c>
      <c r="E33" s="48">
        <f t="shared" si="3"/>
        <v>1</v>
      </c>
      <c r="F33" s="77">
        <f t="shared" si="4"/>
        <v>4300000</v>
      </c>
      <c r="G33" s="79">
        <f t="shared" si="5"/>
        <v>3087830</v>
      </c>
      <c r="H33" s="76">
        <f t="shared" si="6"/>
        <v>7387830</v>
      </c>
      <c r="I33" s="76">
        <f t="shared" si="7"/>
        <v>0</v>
      </c>
      <c r="J33" s="85"/>
      <c r="M33" s="38">
        <f>+B33</f>
        <v>45127</v>
      </c>
      <c r="N33" s="173">
        <f t="shared" si="2"/>
        <v>14432205.036445281</v>
      </c>
      <c r="O33" s="39">
        <v>45138</v>
      </c>
      <c r="P33" s="153">
        <v>30</v>
      </c>
      <c r="Q33" s="40">
        <f t="shared" si="11"/>
        <v>257319.16666666669</v>
      </c>
      <c r="R33" s="40">
        <f t="shared" si="12"/>
        <v>0</v>
      </c>
      <c r="S33" s="40">
        <f t="shared" si="13"/>
        <v>0</v>
      </c>
      <c r="T33" s="34">
        <f t="shared" si="8"/>
        <v>287</v>
      </c>
      <c r="U33" s="41">
        <f t="shared" si="9"/>
        <v>4267797.9332705354</v>
      </c>
      <c r="V33" s="41">
        <f t="shared" si="10"/>
        <v>1224858006.8486438</v>
      </c>
      <c r="W33" s="190">
        <v>25124033</v>
      </c>
      <c r="X33" s="237">
        <f>+W33-'VDF A teórico'!H33</f>
        <v>14432205.036445281</v>
      </c>
      <c r="Y33" s="155"/>
      <c r="AD33" s="88"/>
    </row>
    <row r="34" spans="1:30" x14ac:dyDescent="0.2">
      <c r="A34" s="85"/>
      <c r="B34" s="73">
        <v>45159</v>
      </c>
      <c r="C34" s="261">
        <f t="shared" si="0"/>
        <v>0.69810000000000005</v>
      </c>
      <c r="D34" s="78">
        <f t="shared" si="14"/>
        <v>0.71810000000000007</v>
      </c>
      <c r="E34" s="48">
        <f t="shared" si="3"/>
        <v>0</v>
      </c>
      <c r="F34" s="77">
        <f t="shared" si="4"/>
        <v>0</v>
      </c>
      <c r="G34" s="79">
        <f t="shared" si="5"/>
        <v>0</v>
      </c>
      <c r="H34" s="76">
        <f t="shared" si="6"/>
        <v>0</v>
      </c>
      <c r="I34" s="76">
        <f t="shared" si="7"/>
        <v>0</v>
      </c>
      <c r="J34" s="85"/>
      <c r="M34" s="38">
        <f>+B34</f>
        <v>45159</v>
      </c>
      <c r="N34" s="173">
        <f t="shared" si="2"/>
        <v>25029529</v>
      </c>
      <c r="O34" s="39">
        <v>45169</v>
      </c>
      <c r="P34" s="153">
        <v>31</v>
      </c>
      <c r="Q34" s="40">
        <f t="shared" si="11"/>
        <v>0</v>
      </c>
      <c r="R34" s="40">
        <f t="shared" si="12"/>
        <v>0</v>
      </c>
      <c r="S34" s="40">
        <f t="shared" si="13"/>
        <v>0</v>
      </c>
      <c r="T34" s="34">
        <f t="shared" si="8"/>
        <v>319</v>
      </c>
      <c r="U34" s="41">
        <f t="shared" si="9"/>
        <v>0</v>
      </c>
      <c r="V34" s="41">
        <f t="shared" si="10"/>
        <v>0</v>
      </c>
      <c r="W34" s="190">
        <v>25029529</v>
      </c>
      <c r="X34" s="237">
        <f>+W34-'VDF A teórico'!H34</f>
        <v>25029529</v>
      </c>
      <c r="Y34" s="155"/>
      <c r="AD34" s="88"/>
    </row>
    <row r="35" spans="1:30" x14ac:dyDescent="0.2">
      <c r="A35" s="85"/>
      <c r="B35" s="73">
        <v>45189</v>
      </c>
      <c r="C35" s="261">
        <f t="shared" si="0"/>
        <v>0.69810000000000005</v>
      </c>
      <c r="D35" s="78">
        <f t="shared" si="14"/>
        <v>0.71810000000000007</v>
      </c>
      <c r="E35" s="48">
        <f t="shared" si="3"/>
        <v>0</v>
      </c>
      <c r="F35" s="77">
        <f t="shared" si="4"/>
        <v>0</v>
      </c>
      <c r="G35" s="79">
        <f t="shared" si="5"/>
        <v>0</v>
      </c>
      <c r="H35" s="76">
        <f t="shared" si="6"/>
        <v>0</v>
      </c>
      <c r="I35" s="76">
        <f t="shared" si="7"/>
        <v>0</v>
      </c>
      <c r="J35" s="85"/>
      <c r="M35" s="38">
        <f>+B35</f>
        <v>45189</v>
      </c>
      <c r="N35" s="173">
        <f t="shared" si="2"/>
        <v>20291523</v>
      </c>
      <c r="O35" s="39">
        <v>45199</v>
      </c>
      <c r="P35" s="153">
        <v>30</v>
      </c>
      <c r="Q35" s="40">
        <f t="shared" si="11"/>
        <v>0</v>
      </c>
      <c r="R35" s="40">
        <f t="shared" si="12"/>
        <v>0</v>
      </c>
      <c r="S35" s="40">
        <f t="shared" si="13"/>
        <v>0</v>
      </c>
      <c r="T35" s="34">
        <f t="shared" si="8"/>
        <v>349</v>
      </c>
      <c r="U35" s="41">
        <f t="shared" si="9"/>
        <v>0</v>
      </c>
      <c r="V35" s="41">
        <f t="shared" si="10"/>
        <v>0</v>
      </c>
      <c r="W35" s="190">
        <v>20291523</v>
      </c>
      <c r="X35" s="237">
        <f>+W35-'VDF A teórico'!H35</f>
        <v>20291523</v>
      </c>
      <c r="Y35" s="155"/>
      <c r="AD35" s="88"/>
    </row>
    <row r="36" spans="1:30" x14ac:dyDescent="0.2">
      <c r="A36" s="85"/>
      <c r="B36" s="73"/>
      <c r="C36" s="262"/>
      <c r="D36" s="78"/>
      <c r="E36" s="48"/>
      <c r="F36" s="77"/>
      <c r="G36" s="79"/>
      <c r="H36" s="76"/>
      <c r="I36" s="76"/>
      <c r="J36" s="85"/>
      <c r="M36" s="42"/>
      <c r="N36" s="176"/>
      <c r="O36" s="43"/>
      <c r="P36" s="245"/>
      <c r="Q36" s="44"/>
      <c r="R36" s="44"/>
      <c r="S36" s="44"/>
      <c r="T36" s="34"/>
      <c r="U36" s="41"/>
      <c r="V36" s="41"/>
      <c r="W36" s="190">
        <v>18712794</v>
      </c>
      <c r="X36" s="237"/>
      <c r="Y36" s="155"/>
      <c r="AD36" s="88"/>
    </row>
    <row r="37" spans="1:30" x14ac:dyDescent="0.2">
      <c r="B37" s="67"/>
      <c r="C37" s="67"/>
      <c r="D37" s="68"/>
      <c r="E37" s="69">
        <f>SUM(E24:E36)</f>
        <v>1</v>
      </c>
      <c r="F37" s="171">
        <f>SUM(F24:F36)</f>
        <v>4300000</v>
      </c>
      <c r="G37" s="171">
        <f>SUM(G24:G36)</f>
        <v>3087830</v>
      </c>
      <c r="H37" s="171">
        <f>SUM(H24:H36)</f>
        <v>7387830</v>
      </c>
      <c r="I37" s="171">
        <f>SUM(I24:I36)</f>
        <v>38700000</v>
      </c>
      <c r="M37" s="45"/>
      <c r="N37" s="45"/>
      <c r="O37" s="45"/>
      <c r="P37" s="45"/>
      <c r="Q37" s="45"/>
      <c r="R37" s="45"/>
      <c r="S37" s="45"/>
      <c r="T37" s="45"/>
      <c r="U37" s="46">
        <f>SUM(U24:U36)</f>
        <v>4267797.9332705354</v>
      </c>
      <c r="V37" s="46">
        <f>SUM(V24:V36)</f>
        <v>1224858006.8486438</v>
      </c>
      <c r="W37" s="156"/>
      <c r="X37" s="12"/>
      <c r="Y37" s="160"/>
      <c r="AD37" s="88"/>
    </row>
    <row r="38" spans="1:30" x14ac:dyDescent="0.2">
      <c r="B38" s="122" t="s">
        <v>35</v>
      </c>
      <c r="C38" s="101"/>
      <c r="D38" s="164">
        <f>+'VDF A'!D38</f>
        <v>0.69810000000000005</v>
      </c>
      <c r="E38" s="103"/>
      <c r="F38" s="104"/>
      <c r="G38" s="104"/>
      <c r="H38" s="104"/>
      <c r="I38" s="105"/>
      <c r="M38" s="45"/>
      <c r="N38" s="45"/>
      <c r="O38" s="45"/>
      <c r="P38" s="45"/>
      <c r="Q38" s="45"/>
      <c r="R38" s="12"/>
      <c r="S38" s="12"/>
      <c r="T38" s="12"/>
      <c r="U38" s="12"/>
      <c r="V38" s="47">
        <f>+V37/U37</f>
        <v>287</v>
      </c>
      <c r="W38" s="10"/>
      <c r="X38" s="155"/>
      <c r="Y38" s="161"/>
      <c r="AD38" s="88"/>
    </row>
    <row r="39" spans="1:30" x14ac:dyDescent="0.2">
      <c r="B39" s="101"/>
      <c r="C39" s="101"/>
      <c r="D39" s="102"/>
      <c r="E39" s="103"/>
      <c r="F39" s="104"/>
      <c r="G39" s="104"/>
      <c r="H39" s="104"/>
      <c r="I39" s="105"/>
      <c r="M39" s="45"/>
      <c r="N39" s="45"/>
      <c r="O39" s="45"/>
      <c r="P39" s="45"/>
      <c r="Q39" s="12"/>
      <c r="R39" s="12"/>
      <c r="S39" s="12"/>
      <c r="T39" s="12"/>
      <c r="U39" s="168" t="s">
        <v>5</v>
      </c>
      <c r="V39" s="169">
        <f>+V38/30</f>
        <v>9.5666666666666664</v>
      </c>
      <c r="W39" s="10"/>
      <c r="X39" s="155"/>
      <c r="AD39" s="88"/>
    </row>
    <row r="40" spans="1:30" x14ac:dyDescent="0.2">
      <c r="B40" s="101"/>
      <c r="C40" s="101"/>
      <c r="D40" s="102"/>
      <c r="E40" s="103"/>
      <c r="F40" s="104"/>
      <c r="G40" s="104"/>
      <c r="H40" s="104"/>
      <c r="I40" s="165"/>
      <c r="J40" s="113"/>
      <c r="M40" s="45"/>
      <c r="N40" s="45"/>
      <c r="O40" s="45"/>
      <c r="P40" s="45"/>
      <c r="Q40" s="12"/>
      <c r="R40" s="12"/>
      <c r="S40" s="12"/>
      <c r="T40" s="12"/>
      <c r="U40" s="12"/>
      <c r="V40" s="47"/>
      <c r="W40" s="10"/>
      <c r="X40" s="155"/>
      <c r="AD40" s="88"/>
    </row>
    <row r="41" spans="1:30" x14ac:dyDescent="0.2">
      <c r="B41" s="101"/>
      <c r="C41" s="101"/>
      <c r="D41" s="106"/>
      <c r="E41" s="106"/>
      <c r="F41" s="106"/>
      <c r="G41" s="106"/>
      <c r="H41" s="106"/>
      <c r="I41" s="165"/>
      <c r="J41" s="113"/>
      <c r="M41" s="12"/>
      <c r="N41" s="12"/>
      <c r="O41" s="12"/>
      <c r="P41" s="12"/>
      <c r="Q41" s="155"/>
      <c r="R41" s="155"/>
      <c r="S41" s="155"/>
      <c r="T41" s="155"/>
      <c r="U41" s="12"/>
      <c r="V41" s="12"/>
      <c r="W41" s="170"/>
      <c r="X41" s="12"/>
      <c r="AD41" s="88"/>
    </row>
    <row r="42" spans="1:30" ht="15" x14ac:dyDescent="0.2">
      <c r="B42" s="277" t="s">
        <v>30</v>
      </c>
      <c r="C42" s="277"/>
      <c r="D42" s="277"/>
      <c r="E42" s="277"/>
      <c r="F42" s="277"/>
      <c r="G42" s="277"/>
      <c r="H42" s="277"/>
      <c r="I42" s="165"/>
      <c r="J42" s="113"/>
      <c r="M42" s="12"/>
      <c r="N42" s="12"/>
      <c r="O42" s="12"/>
      <c r="P42" s="155"/>
      <c r="Q42" s="155"/>
      <c r="R42" s="155"/>
      <c r="S42" s="155"/>
      <c r="T42" s="155"/>
      <c r="U42" s="155"/>
      <c r="V42" s="155"/>
      <c r="W42" s="155"/>
      <c r="X42" s="170"/>
      <c r="Y42" s="12"/>
    </row>
    <row r="43" spans="1:30" x14ac:dyDescent="0.2">
      <c r="A43" s="137"/>
      <c r="B43" s="296" t="s">
        <v>27</v>
      </c>
      <c r="C43" s="297"/>
      <c r="D43" s="297"/>
      <c r="E43" s="297"/>
      <c r="F43" s="297"/>
      <c r="G43" s="297"/>
      <c r="H43" s="298"/>
      <c r="I43" s="165"/>
      <c r="J43" s="113"/>
      <c r="M43" s="10"/>
      <c r="N43" s="10"/>
      <c r="O43" s="284" t="s">
        <v>18</v>
      </c>
      <c r="P43" s="284"/>
      <c r="Q43" s="284"/>
      <c r="R43" s="284"/>
      <c r="S43" s="26"/>
      <c r="T43" s="26"/>
      <c r="U43" s="155"/>
      <c r="V43" s="155"/>
      <c r="W43" s="155"/>
      <c r="X43" s="170"/>
      <c r="Y43" s="12"/>
    </row>
    <row r="44" spans="1:30" ht="25.5" x14ac:dyDescent="0.2">
      <c r="B44" s="59" t="s">
        <v>0</v>
      </c>
      <c r="C44" s="65" t="s">
        <v>29</v>
      </c>
      <c r="D44" s="138" t="s">
        <v>6</v>
      </c>
      <c r="E44" s="139" t="s">
        <v>1</v>
      </c>
      <c r="F44" s="59" t="s">
        <v>2</v>
      </c>
      <c r="G44" s="139" t="s">
        <v>4</v>
      </c>
      <c r="H44" s="139" t="s">
        <v>8</v>
      </c>
      <c r="I44" s="244"/>
      <c r="J44" s="113"/>
      <c r="L44" s="135"/>
      <c r="M44" s="28" t="s">
        <v>0</v>
      </c>
      <c r="N44" s="29" t="s">
        <v>20</v>
      </c>
      <c r="O44" s="29" t="s">
        <v>23</v>
      </c>
      <c r="P44" s="29" t="s">
        <v>3</v>
      </c>
      <c r="Q44" s="29" t="s">
        <v>21</v>
      </c>
      <c r="R44" s="29" t="s">
        <v>22</v>
      </c>
      <c r="S44" s="30"/>
      <c r="T44" s="30"/>
      <c r="U44" s="197">
        <f>+Q14</f>
        <v>4300000</v>
      </c>
      <c r="V44" s="50"/>
      <c r="W44" s="170"/>
      <c r="X44" s="12"/>
      <c r="Y44" s="12"/>
      <c r="AD44" s="88"/>
    </row>
    <row r="45" spans="1:30" x14ac:dyDescent="0.2">
      <c r="B45" s="73">
        <v>44840</v>
      </c>
      <c r="C45" s="136"/>
      <c r="D45" s="107"/>
      <c r="E45" s="108"/>
      <c r="F45" s="140"/>
      <c r="G45" s="141">
        <v>0</v>
      </c>
      <c r="H45" s="140">
        <f>+Q14</f>
        <v>4300000</v>
      </c>
      <c r="I45" s="259"/>
      <c r="J45" s="113"/>
      <c r="L45" s="135"/>
      <c r="M45" s="32">
        <f>+B45</f>
        <v>44840</v>
      </c>
      <c r="N45" s="151"/>
      <c r="O45" s="32">
        <v>44773</v>
      </c>
      <c r="P45" s="172"/>
      <c r="Q45" s="180"/>
      <c r="R45" s="177"/>
      <c r="S45" s="170"/>
      <c r="T45" s="170"/>
      <c r="U45" s="199">
        <f>+D12/U44</f>
        <v>1</v>
      </c>
      <c r="V45" s="201">
        <f>+SUM(V46:V57)</f>
        <v>4299999.5551449182</v>
      </c>
      <c r="W45" s="170"/>
      <c r="X45" s="12"/>
      <c r="Y45" s="12"/>
      <c r="AD45" s="88"/>
    </row>
    <row r="46" spans="1:30" x14ac:dyDescent="0.2">
      <c r="B46" s="73">
        <v>44854</v>
      </c>
      <c r="C46" s="109">
        <v>0.71</v>
      </c>
      <c r="D46" s="110">
        <f>+E46/$H$45</f>
        <v>0</v>
      </c>
      <c r="E46" s="49">
        <f>+IF(H45&gt;0,MIN(N46-F46,H45),0)</f>
        <v>0</v>
      </c>
      <c r="F46" s="79">
        <f>+MIN($N46,R45+Q46)</f>
        <v>0</v>
      </c>
      <c r="G46" s="108">
        <f>+E46+F46</f>
        <v>0</v>
      </c>
      <c r="H46" s="108">
        <f>+H45-E46</f>
        <v>4300000</v>
      </c>
      <c r="I46" s="259"/>
      <c r="J46" s="113"/>
      <c r="L46" s="135"/>
      <c r="M46" s="39">
        <f t="shared" ref="M46:M53" si="15">+B46</f>
        <v>44854</v>
      </c>
      <c r="N46" s="200">
        <f>+ROUNDDOWN(U46-'VDF A teórico'!G46,0)</f>
        <v>0</v>
      </c>
      <c r="O46" s="39">
        <v>44865</v>
      </c>
      <c r="P46" s="268">
        <v>90</v>
      </c>
      <c r="Q46" s="40">
        <f>+H45*(C46)/360*P46</f>
        <v>763249.99999999988</v>
      </c>
      <c r="R46" s="178">
        <f>+R45+Q46-F46</f>
        <v>763249.99999999988</v>
      </c>
      <c r="S46" s="170"/>
      <c r="T46" s="170"/>
      <c r="U46" s="240">
        <v>108228477</v>
      </c>
      <c r="V46" s="197">
        <f t="shared" ref="V46:V57" si="16">+G46/(1+$G$12)^((B46-$B$45)/365)</f>
        <v>0</v>
      </c>
      <c r="W46" s="170"/>
      <c r="X46" s="12"/>
      <c r="Y46" s="12"/>
      <c r="AD46" s="88"/>
    </row>
    <row r="47" spans="1:30" x14ac:dyDescent="0.2">
      <c r="B47" s="73">
        <v>44887</v>
      </c>
      <c r="C47" s="109">
        <v>0.71</v>
      </c>
      <c r="D47" s="110">
        <f t="shared" ref="D47:D57" si="17">+E47/$H$45</f>
        <v>0</v>
      </c>
      <c r="E47" s="49">
        <f t="shared" ref="E47:E55" si="18">+IF(H46&gt;0,MIN(N47-F47,H46),0)</f>
        <v>0</v>
      </c>
      <c r="F47" s="79">
        <f t="shared" ref="F47:F55" si="19">+MIN($N47,R46+Q47)</f>
        <v>0</v>
      </c>
      <c r="G47" s="108">
        <f t="shared" ref="G47:G55" si="20">+E47+F47</f>
        <v>0</v>
      </c>
      <c r="H47" s="108">
        <f t="shared" ref="H47:H55" si="21">+H46-E47</f>
        <v>4300000</v>
      </c>
      <c r="I47" s="259"/>
      <c r="J47" s="113"/>
      <c r="L47" s="135"/>
      <c r="M47" s="39">
        <f t="shared" si="15"/>
        <v>44887</v>
      </c>
      <c r="N47" s="200">
        <f>+ROUNDDOWN(U47-'VDF A teórico'!G47,0)</f>
        <v>0</v>
      </c>
      <c r="O47" s="39">
        <v>44895</v>
      </c>
      <c r="P47" s="268">
        <v>30</v>
      </c>
      <c r="Q47" s="40">
        <f t="shared" ref="Q47:Q53" si="22">+H46*(C47)/360*P47</f>
        <v>254416.66666666663</v>
      </c>
      <c r="R47" s="178">
        <f t="shared" ref="R47:R52" si="23">+R46+Q47-F47</f>
        <v>1017666.6666666665</v>
      </c>
      <c r="S47" s="170"/>
      <c r="T47" s="170"/>
      <c r="U47" s="240">
        <v>31242487</v>
      </c>
      <c r="V47" s="197">
        <f t="shared" si="16"/>
        <v>0</v>
      </c>
      <c r="W47" s="170"/>
      <c r="X47" s="12"/>
      <c r="Y47" s="12"/>
      <c r="AD47" s="88"/>
    </row>
    <row r="48" spans="1:30" x14ac:dyDescent="0.2">
      <c r="B48" s="73">
        <v>44915</v>
      </c>
      <c r="C48" s="109">
        <v>0.71</v>
      </c>
      <c r="D48" s="110">
        <f t="shared" si="17"/>
        <v>0</v>
      </c>
      <c r="E48" s="49">
        <f t="shared" si="18"/>
        <v>0</v>
      </c>
      <c r="F48" s="79">
        <f t="shared" si="19"/>
        <v>0</v>
      </c>
      <c r="G48" s="108">
        <f t="shared" si="20"/>
        <v>0</v>
      </c>
      <c r="H48" s="108">
        <f t="shared" si="21"/>
        <v>4300000</v>
      </c>
      <c r="I48" s="259"/>
      <c r="J48" s="113"/>
      <c r="L48" s="135"/>
      <c r="M48" s="39">
        <f t="shared" si="15"/>
        <v>44915</v>
      </c>
      <c r="N48" s="200">
        <f>+ROUNDDOWN(U48-'VDF A teórico'!G48,0)</f>
        <v>0</v>
      </c>
      <c r="O48" s="39">
        <v>44926</v>
      </c>
      <c r="P48" s="268">
        <v>30</v>
      </c>
      <c r="Q48" s="40">
        <f t="shared" si="22"/>
        <v>254416.66666666663</v>
      </c>
      <c r="R48" s="178">
        <f t="shared" si="23"/>
        <v>1272083.333333333</v>
      </c>
      <c r="S48" s="170"/>
      <c r="T48" s="170"/>
      <c r="U48" s="240">
        <v>30494010</v>
      </c>
      <c r="V48" s="197">
        <f t="shared" si="16"/>
        <v>0</v>
      </c>
      <c r="W48" s="170"/>
      <c r="X48" s="12"/>
      <c r="Y48" s="12"/>
      <c r="AD48" s="88"/>
    </row>
    <row r="49" spans="2:30" x14ac:dyDescent="0.2">
      <c r="B49" s="73">
        <v>44946</v>
      </c>
      <c r="C49" s="109">
        <v>0.71</v>
      </c>
      <c r="D49" s="110">
        <f t="shared" si="17"/>
        <v>0</v>
      </c>
      <c r="E49" s="49">
        <f t="shared" si="18"/>
        <v>0</v>
      </c>
      <c r="F49" s="79">
        <f t="shared" si="19"/>
        <v>0</v>
      </c>
      <c r="G49" s="108">
        <f t="shared" si="20"/>
        <v>0</v>
      </c>
      <c r="H49" s="108">
        <f t="shared" si="21"/>
        <v>4300000</v>
      </c>
      <c r="I49" s="259"/>
      <c r="J49" s="113"/>
      <c r="L49" s="135"/>
      <c r="M49" s="39">
        <f t="shared" si="15"/>
        <v>44946</v>
      </c>
      <c r="N49" s="200">
        <f>+ROUNDDOWN(U49-'VDF A teórico'!G49,0)</f>
        <v>0</v>
      </c>
      <c r="O49" s="39">
        <v>44957</v>
      </c>
      <c r="P49" s="268">
        <v>30</v>
      </c>
      <c r="Q49" s="40">
        <f t="shared" si="22"/>
        <v>254416.66666666663</v>
      </c>
      <c r="R49" s="178">
        <f t="shared" si="23"/>
        <v>1526499.9999999995</v>
      </c>
      <c r="S49" s="170"/>
      <c r="T49" s="170"/>
      <c r="U49" s="240">
        <v>29923875</v>
      </c>
      <c r="V49" s="197">
        <f t="shared" si="16"/>
        <v>0</v>
      </c>
      <c r="W49" s="170"/>
      <c r="X49" s="12"/>
      <c r="Y49" s="12"/>
      <c r="AD49" s="88"/>
    </row>
    <row r="50" spans="2:30" x14ac:dyDescent="0.2">
      <c r="B50" s="73">
        <v>44977</v>
      </c>
      <c r="C50" s="109">
        <v>0.71</v>
      </c>
      <c r="D50" s="110">
        <f t="shared" si="17"/>
        <v>0</v>
      </c>
      <c r="E50" s="49">
        <f t="shared" si="18"/>
        <v>0</v>
      </c>
      <c r="F50" s="79">
        <f t="shared" si="19"/>
        <v>0</v>
      </c>
      <c r="G50" s="108">
        <f t="shared" si="20"/>
        <v>0</v>
      </c>
      <c r="H50" s="108">
        <f t="shared" si="21"/>
        <v>4300000</v>
      </c>
      <c r="I50" s="259"/>
      <c r="J50" s="113"/>
      <c r="L50" s="135"/>
      <c r="M50" s="39">
        <f t="shared" si="15"/>
        <v>44977</v>
      </c>
      <c r="N50" s="200">
        <f>+ROUNDDOWN(U50-'VDF A teórico'!G50,0)</f>
        <v>0</v>
      </c>
      <c r="O50" s="39">
        <v>44985</v>
      </c>
      <c r="P50" s="268">
        <v>30</v>
      </c>
      <c r="Q50" s="40">
        <f t="shared" si="22"/>
        <v>254416.66666666663</v>
      </c>
      <c r="R50" s="178">
        <f t="shared" si="23"/>
        <v>1780916.666666666</v>
      </c>
      <c r="S50" s="170"/>
      <c r="T50" s="170"/>
      <c r="U50" s="240">
        <v>30785314</v>
      </c>
      <c r="V50" s="197">
        <f t="shared" si="16"/>
        <v>0</v>
      </c>
      <c r="W50" s="87"/>
      <c r="X50" s="86"/>
      <c r="AD50" s="88"/>
    </row>
    <row r="51" spans="2:30" x14ac:dyDescent="0.2">
      <c r="B51" s="73">
        <v>45005</v>
      </c>
      <c r="C51" s="109">
        <v>0.71</v>
      </c>
      <c r="D51" s="110">
        <f t="shared" si="17"/>
        <v>0</v>
      </c>
      <c r="E51" s="49">
        <f t="shared" si="18"/>
        <v>0</v>
      </c>
      <c r="F51" s="79">
        <f t="shared" si="19"/>
        <v>0</v>
      </c>
      <c r="G51" s="108">
        <f t="shared" si="20"/>
        <v>0</v>
      </c>
      <c r="H51" s="108">
        <f t="shared" si="21"/>
        <v>4300000</v>
      </c>
      <c r="I51" s="189"/>
      <c r="M51" s="39">
        <f t="shared" si="15"/>
        <v>45005</v>
      </c>
      <c r="N51" s="200">
        <f>+ROUNDDOWN(U51-'VDF A teórico'!G51,0)</f>
        <v>0</v>
      </c>
      <c r="O51" s="39">
        <v>45016</v>
      </c>
      <c r="P51" s="268">
        <v>30</v>
      </c>
      <c r="Q51" s="40">
        <f t="shared" si="22"/>
        <v>254416.66666666663</v>
      </c>
      <c r="R51" s="178">
        <f t="shared" si="23"/>
        <v>2035333.3333333326</v>
      </c>
      <c r="S51" s="170"/>
      <c r="T51" s="170"/>
      <c r="U51" s="240">
        <v>29164403</v>
      </c>
      <c r="V51" s="197">
        <f t="shared" si="16"/>
        <v>0</v>
      </c>
    </row>
    <row r="52" spans="2:30" x14ac:dyDescent="0.2">
      <c r="B52" s="73">
        <v>45036</v>
      </c>
      <c r="C52" s="109">
        <v>0.71</v>
      </c>
      <c r="D52" s="110">
        <f t="shared" si="17"/>
        <v>0</v>
      </c>
      <c r="E52" s="49">
        <f t="shared" si="18"/>
        <v>0</v>
      </c>
      <c r="F52" s="79">
        <f t="shared" si="19"/>
        <v>0</v>
      </c>
      <c r="G52" s="108">
        <f t="shared" si="20"/>
        <v>0</v>
      </c>
      <c r="H52" s="108">
        <f t="shared" si="21"/>
        <v>4300000</v>
      </c>
      <c r="I52" s="189"/>
      <c r="M52" s="39">
        <f t="shared" si="15"/>
        <v>45036</v>
      </c>
      <c r="N52" s="200">
        <f>+ROUNDDOWN(U52-'VDF A teórico'!G52,0)</f>
        <v>0</v>
      </c>
      <c r="O52" s="39">
        <v>45046</v>
      </c>
      <c r="P52" s="268">
        <v>30</v>
      </c>
      <c r="Q52" s="40">
        <f t="shared" si="22"/>
        <v>254416.66666666663</v>
      </c>
      <c r="R52" s="178">
        <f t="shared" si="23"/>
        <v>2289749.9999999991</v>
      </c>
      <c r="S52" s="170"/>
      <c r="T52" s="170"/>
      <c r="U52" s="240">
        <v>27847600</v>
      </c>
      <c r="V52" s="197">
        <f t="shared" si="16"/>
        <v>0</v>
      </c>
    </row>
    <row r="53" spans="2:30" x14ac:dyDescent="0.2">
      <c r="B53" s="73">
        <v>45068</v>
      </c>
      <c r="C53" s="109">
        <v>0.71</v>
      </c>
      <c r="D53" s="110">
        <f t="shared" si="17"/>
        <v>0</v>
      </c>
      <c r="E53" s="49">
        <f t="shared" si="18"/>
        <v>0</v>
      </c>
      <c r="F53" s="79">
        <f t="shared" si="19"/>
        <v>0</v>
      </c>
      <c r="G53" s="108">
        <f t="shared" si="20"/>
        <v>0</v>
      </c>
      <c r="H53" s="108">
        <f t="shared" si="21"/>
        <v>4300000</v>
      </c>
      <c r="I53" s="189"/>
      <c r="M53" s="39">
        <f t="shared" si="15"/>
        <v>45068</v>
      </c>
      <c r="N53" s="200">
        <f>+ROUNDDOWN(U53-'VDF A teórico'!G53,0)</f>
        <v>0</v>
      </c>
      <c r="O53" s="39">
        <v>45077</v>
      </c>
      <c r="P53" s="268">
        <v>30</v>
      </c>
      <c r="Q53" s="40">
        <f t="shared" si="22"/>
        <v>254416.66666666663</v>
      </c>
      <c r="R53" s="178">
        <f>+R52+Q53-F53</f>
        <v>2544166.6666666656</v>
      </c>
      <c r="S53" s="170"/>
      <c r="T53" s="170"/>
      <c r="U53" s="240">
        <v>30273618</v>
      </c>
      <c r="V53" s="197">
        <f t="shared" si="16"/>
        <v>0</v>
      </c>
    </row>
    <row r="54" spans="2:30" x14ac:dyDescent="0.2">
      <c r="B54" s="73">
        <v>45097</v>
      </c>
      <c r="C54" s="109">
        <v>0.71</v>
      </c>
      <c r="D54" s="110">
        <f t="shared" si="17"/>
        <v>0</v>
      </c>
      <c r="E54" s="49">
        <f t="shared" si="18"/>
        <v>0</v>
      </c>
      <c r="F54" s="79">
        <f t="shared" si="19"/>
        <v>0</v>
      </c>
      <c r="G54" s="108">
        <f t="shared" si="20"/>
        <v>0</v>
      </c>
      <c r="H54" s="108">
        <f t="shared" si="21"/>
        <v>4300000</v>
      </c>
      <c r="I54" s="189"/>
      <c r="M54" s="39">
        <f>+B54</f>
        <v>45097</v>
      </c>
      <c r="N54" s="200">
        <f>+ROUNDDOWN(U54-'VDF A teórico'!G54,0)</f>
        <v>0</v>
      </c>
      <c r="O54" s="39">
        <v>45107</v>
      </c>
      <c r="P54" s="268">
        <v>30</v>
      </c>
      <c r="Q54" s="40">
        <f>+H53*(C54)/360*P54</f>
        <v>254416.66666666663</v>
      </c>
      <c r="R54" s="178">
        <f>+R53+Q54-F54</f>
        <v>2798583.3333333321</v>
      </c>
      <c r="S54" s="170"/>
      <c r="T54" s="170"/>
      <c r="U54" s="240">
        <v>27310279</v>
      </c>
      <c r="V54" s="197">
        <f t="shared" si="16"/>
        <v>0</v>
      </c>
    </row>
    <row r="55" spans="2:30" x14ac:dyDescent="0.2">
      <c r="B55" s="73">
        <v>45127</v>
      </c>
      <c r="C55" s="109">
        <v>0.71</v>
      </c>
      <c r="D55" s="110">
        <f t="shared" si="17"/>
        <v>1</v>
      </c>
      <c r="E55" s="49">
        <f t="shared" si="18"/>
        <v>4300000</v>
      </c>
      <c r="F55" s="79">
        <f t="shared" si="19"/>
        <v>3052999.9999999986</v>
      </c>
      <c r="G55" s="108">
        <f t="shared" si="20"/>
        <v>7352999.9999999981</v>
      </c>
      <c r="H55" s="108">
        <f t="shared" si="21"/>
        <v>0</v>
      </c>
      <c r="I55" s="189"/>
      <c r="M55" s="39">
        <f>+B55</f>
        <v>45127</v>
      </c>
      <c r="N55" s="200">
        <f>+ROUNDDOWN(U55-'VDF A teórico'!G58,0)</f>
        <v>25124033</v>
      </c>
      <c r="O55" s="39">
        <v>45138</v>
      </c>
      <c r="P55" s="268">
        <v>30</v>
      </c>
      <c r="Q55" s="40">
        <f>+H54*(C55)/360*P55</f>
        <v>254416.66666666663</v>
      </c>
      <c r="R55" s="178">
        <f>+R54+Q55-F55</f>
        <v>0</v>
      </c>
      <c r="S55" s="170"/>
      <c r="T55" s="170"/>
      <c r="U55" s="240">
        <v>25124033</v>
      </c>
      <c r="V55" s="197">
        <f t="shared" si="16"/>
        <v>4299999.5551449182</v>
      </c>
    </row>
    <row r="56" spans="2:30" x14ac:dyDescent="0.2">
      <c r="B56" s="73">
        <v>45159</v>
      </c>
      <c r="C56" s="109">
        <v>0.71</v>
      </c>
      <c r="D56" s="110">
        <f>+E56/$H$45</f>
        <v>0</v>
      </c>
      <c r="E56" s="49">
        <f>+IF(H55&gt;0,MIN(N56-F56,H55),0)</f>
        <v>0</v>
      </c>
      <c r="F56" s="79">
        <f>+MIN($N56,R55+Q56)</f>
        <v>0</v>
      </c>
      <c r="G56" s="108">
        <f>+E56+F56</f>
        <v>0</v>
      </c>
      <c r="H56" s="108">
        <f>+H55-E56</f>
        <v>0</v>
      </c>
      <c r="I56" s="189"/>
      <c r="M56" s="39">
        <f>+B56</f>
        <v>45159</v>
      </c>
      <c r="N56" s="200">
        <f>+ROUNDDOWN(U56,0)</f>
        <v>25029529</v>
      </c>
      <c r="O56" s="39">
        <v>45169</v>
      </c>
      <c r="P56" s="268">
        <v>31</v>
      </c>
      <c r="Q56" s="40">
        <f>+H55*(C56)/360*P56</f>
        <v>0</v>
      </c>
      <c r="R56" s="178">
        <f>+R55+Q56-F56</f>
        <v>0</v>
      </c>
      <c r="S56" s="170"/>
      <c r="T56" s="170"/>
      <c r="U56" s="240">
        <v>25029529</v>
      </c>
      <c r="V56" s="197">
        <f t="shared" si="16"/>
        <v>0</v>
      </c>
    </row>
    <row r="57" spans="2:30" x14ac:dyDescent="0.2">
      <c r="B57" s="73">
        <v>45189</v>
      </c>
      <c r="C57" s="109">
        <v>0.71</v>
      </c>
      <c r="D57" s="110">
        <f t="shared" si="17"/>
        <v>0</v>
      </c>
      <c r="E57" s="49">
        <f>+IF(H56&gt;0,MIN(N57-F57,H56),0)</f>
        <v>0</v>
      </c>
      <c r="F57" s="79">
        <f>+MIN($N57,R56+Q57)</f>
        <v>0</v>
      </c>
      <c r="G57" s="108">
        <f>+E57+F57</f>
        <v>0</v>
      </c>
      <c r="H57" s="108">
        <f>+H56-E57</f>
        <v>0</v>
      </c>
      <c r="I57" s="189"/>
      <c r="M57" s="43">
        <v>45189</v>
      </c>
      <c r="N57" s="182">
        <f>+ROUNDDOWN(U57-'VDF A teórico'!G60,0)</f>
        <v>20291523</v>
      </c>
      <c r="O57" s="43">
        <v>45199</v>
      </c>
      <c r="P57" s="269">
        <v>30</v>
      </c>
      <c r="Q57" s="44">
        <f>+H56*(C57)/360*P57</f>
        <v>0</v>
      </c>
      <c r="R57" s="179">
        <f>+R56+Q57-F57</f>
        <v>0</v>
      </c>
      <c r="S57" s="170"/>
      <c r="T57" s="170"/>
      <c r="U57" s="240">
        <v>20291523</v>
      </c>
      <c r="V57" s="197">
        <f t="shared" si="16"/>
        <v>0</v>
      </c>
    </row>
    <row r="58" spans="2:30" x14ac:dyDescent="0.2">
      <c r="B58" s="67"/>
      <c r="C58" s="68"/>
      <c r="D58" s="69">
        <f>SUM(D46:D57)</f>
        <v>1</v>
      </c>
      <c r="E58" s="70">
        <f>SUM(E45:E57)</f>
        <v>4300000</v>
      </c>
      <c r="F58" s="71">
        <f>SUM(F45:F57)</f>
        <v>3052999.9999999986</v>
      </c>
      <c r="G58" s="70">
        <f>SUM(G45:G57)</f>
        <v>7352999.9999999981</v>
      </c>
      <c r="H58" s="72"/>
      <c r="I58" s="2"/>
      <c r="M58" s="167"/>
      <c r="N58" s="173"/>
      <c r="O58" s="175"/>
      <c r="P58" s="174"/>
      <c r="Q58" s="41"/>
      <c r="R58" s="170"/>
      <c r="S58" s="170"/>
      <c r="T58" s="170"/>
      <c r="U58" s="240">
        <v>18712794</v>
      </c>
    </row>
    <row r="59" spans="2:30" x14ac:dyDescent="0.2">
      <c r="E59" s="111"/>
      <c r="F59" s="112"/>
      <c r="G59" s="112"/>
      <c r="I59" s="260"/>
      <c r="M59" s="167"/>
      <c r="N59" s="173"/>
      <c r="O59" s="175"/>
      <c r="P59" s="174"/>
      <c r="Q59" s="41"/>
      <c r="R59" s="170"/>
      <c r="S59" s="170"/>
      <c r="T59" s="170"/>
      <c r="U59" s="240">
        <v>15912584</v>
      </c>
    </row>
    <row r="60" spans="2:30" hidden="1" x14ac:dyDescent="0.2">
      <c r="E60" s="113"/>
      <c r="F60" s="112"/>
      <c r="G60" s="112"/>
      <c r="I60" s="246"/>
      <c r="M60" s="166"/>
      <c r="U60" s="240">
        <v>18603235</v>
      </c>
    </row>
    <row r="61" spans="2:30" hidden="1" x14ac:dyDescent="0.2">
      <c r="E61" s="113"/>
      <c r="F61" s="112"/>
      <c r="G61" s="114"/>
      <c r="U61" s="240"/>
    </row>
    <row r="62" spans="2:30" hidden="1" x14ac:dyDescent="0.2">
      <c r="E62" s="113"/>
      <c r="F62" s="112"/>
      <c r="G62" s="114"/>
      <c r="U62" s="240"/>
    </row>
    <row r="63" spans="2:30" hidden="1" x14ac:dyDescent="0.2">
      <c r="E63" s="113"/>
      <c r="F63" s="112"/>
      <c r="G63" s="114"/>
      <c r="U63" s="240"/>
    </row>
    <row r="64" spans="2:30" hidden="1" x14ac:dyDescent="0.2">
      <c r="E64" s="113"/>
      <c r="F64" s="112"/>
      <c r="G64" s="114"/>
      <c r="U64" s="240"/>
    </row>
    <row r="65" spans="5:21" hidden="1" x14ac:dyDescent="0.2">
      <c r="E65" s="113"/>
      <c r="F65" s="114"/>
      <c r="G65" s="114"/>
      <c r="U65" s="240"/>
    </row>
    <row r="66" spans="5:21" hidden="1" x14ac:dyDescent="0.2">
      <c r="E66" s="114"/>
      <c r="F66" s="114"/>
      <c r="G66" s="114"/>
      <c r="U66" s="240"/>
    </row>
    <row r="67" spans="5:21" hidden="1" x14ac:dyDescent="0.2">
      <c r="F67" s="114"/>
      <c r="G67" s="114"/>
      <c r="U67" s="240"/>
    </row>
    <row r="68" spans="5:21" hidden="1" x14ac:dyDescent="0.2">
      <c r="F68" s="114"/>
      <c r="G68" s="114"/>
      <c r="U68" s="240"/>
    </row>
    <row r="69" spans="5:21" hidden="1" x14ac:dyDescent="0.2">
      <c r="F69" s="114"/>
      <c r="G69" s="114"/>
    </row>
    <row r="70" spans="5:21" hidden="1" x14ac:dyDescent="0.2">
      <c r="F70" s="114"/>
      <c r="G70" s="114"/>
    </row>
    <row r="71" spans="5:21" hidden="1" x14ac:dyDescent="0.2">
      <c r="F71" s="114"/>
      <c r="G71" s="114"/>
    </row>
    <row r="72" spans="5:21" hidden="1" x14ac:dyDescent="0.2">
      <c r="F72" s="114"/>
      <c r="G72" s="114"/>
    </row>
    <row r="73" spans="5:21" hidden="1" x14ac:dyDescent="0.2">
      <c r="F73" s="114"/>
      <c r="G73" s="114"/>
    </row>
    <row r="74" spans="5:21" hidden="1" x14ac:dyDescent="0.2">
      <c r="F74" s="114"/>
      <c r="G74" s="114"/>
    </row>
    <row r="75" spans="5:21" hidden="1" x14ac:dyDescent="0.2">
      <c r="F75" s="114"/>
    </row>
  </sheetData>
  <sheetProtection password="C72E" sheet="1"/>
  <mergeCells count="11">
    <mergeCell ref="O43:R43"/>
    <mergeCell ref="B8:E8"/>
    <mergeCell ref="B9:E10"/>
    <mergeCell ref="B43:H43"/>
    <mergeCell ref="A6:I6"/>
    <mergeCell ref="B42:H42"/>
    <mergeCell ref="O21:S21"/>
    <mergeCell ref="B20:I20"/>
    <mergeCell ref="M1:P1"/>
    <mergeCell ref="M12:Y12"/>
    <mergeCell ref="B21:I21"/>
  </mergeCells>
  <conditionalFormatting sqref="E58:G58 F38:H40 E46:E57 F24:F36">
    <cfRule type="cellIs" dxfId="0" priority="6" stopIfTrue="1" operator="equal">
      <formula>0</formula>
    </cfRule>
  </conditionalFormatting>
  <printOptions horizontalCentered="1"/>
  <pageMargins left="0.78740157480314965" right="0.78740157480314965" top="0.77" bottom="3.937007874015748E-2" header="0" footer="0"/>
  <pageSetup paperSize="9" orientation="landscape" r:id="rId1"/>
  <headerFooter alignWithMargins="0"/>
  <ignoredErrors>
    <ignoredError sqref="D38 C24:C3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VDF A</vt:lpstr>
      <vt:lpstr>VDF A teórico</vt:lpstr>
      <vt:lpstr>VDF B</vt:lpstr>
      <vt:lpstr>'VDF A'!Área_de_impresión</vt:lpstr>
      <vt:lpstr>'VDF B'!Área_de_impresión</vt:lpstr>
      <vt:lpstr>'VDF B'!VN</vt:lpstr>
      <vt:lpstr>VN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Mauro Jorge Zambon</cp:lastModifiedBy>
  <cp:lastPrinted>2014-06-30T14:11:46Z</cp:lastPrinted>
  <dcterms:created xsi:type="dcterms:W3CDTF">1996-11-27T10:00:04Z</dcterms:created>
  <dcterms:modified xsi:type="dcterms:W3CDTF">2022-10-05T15:45:49Z</dcterms:modified>
</cp:coreProperties>
</file>