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AGROFINA\AGROFINA 28\Difusión\"/>
    </mc:Choice>
  </mc:AlternateContent>
  <bookViews>
    <workbookView xWindow="-120" yWindow="300" windowWidth="20730" windowHeight="10740" activeTab="1"/>
  </bookViews>
  <sheets>
    <sheet name="Resumen" sheetId="6" r:id="rId1"/>
    <sheet name="VDF A" sheetId="1" r:id="rId2"/>
    <sheet name="VDF B" sheetId="8" r:id="rId3"/>
    <sheet name="BADLAR" sheetId="10" state="hidden" r:id="rId4"/>
  </sheets>
  <definedNames>
    <definedName name="_xlnm.Print_Area" localSheetId="1">'VDF A'!$G$4:$K$38</definedName>
    <definedName name="_xlnm.Print_Area" localSheetId="2">'VDF B'!$G$4:$K$36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8" l="1"/>
  <c r="R25" i="8"/>
  <c r="X25" i="8"/>
  <c r="V25" i="8"/>
  <c r="W25" i="8"/>
  <c r="F24" i="8"/>
  <c r="L24" i="8"/>
  <c r="Q24" i="8" s="1"/>
  <c r="K24" i="8"/>
  <c r="J24" i="8"/>
  <c r="D24" i="8"/>
  <c r="E24" i="8" s="1"/>
  <c r="C24" i="8"/>
  <c r="C22" i="1"/>
  <c r="AB24" i="8" l="1"/>
  <c r="AC24" i="8" s="1"/>
  <c r="W24" i="8"/>
  <c r="V24" i="8" s="1"/>
  <c r="Y24" i="8" l="1"/>
  <c r="X24" i="8"/>
  <c r="R24" i="8" l="1"/>
  <c r="S24" i="8"/>
  <c r="I22" i="1" l="1"/>
  <c r="K10" i="8" l="1"/>
  <c r="C23" i="1"/>
  <c r="H27" i="1"/>
  <c r="F10" i="6" l="1"/>
  <c r="F9" i="6"/>
  <c r="L26" i="1"/>
  <c r="F26" i="1"/>
  <c r="L25" i="1"/>
  <c r="F25" i="1"/>
  <c r="C21" i="8"/>
  <c r="H25" i="8"/>
  <c r="L23" i="8"/>
  <c r="F23" i="8"/>
  <c r="H17" i="1"/>
  <c r="C24" i="1" l="1"/>
  <c r="D10" i="6" l="1"/>
  <c r="D9" i="6"/>
  <c r="L22" i="8"/>
  <c r="C25" i="1" l="1"/>
  <c r="C26" i="1" l="1"/>
  <c r="D25" i="1"/>
  <c r="E25" i="1" s="1"/>
  <c r="C4" i="10"/>
  <c r="D26" i="1" l="1"/>
  <c r="E26" i="1" s="1"/>
  <c r="B18" i="10"/>
  <c r="B17" i="10" l="1"/>
  <c r="B16" i="10" s="1"/>
  <c r="B15" i="10" s="1"/>
  <c r="B14" i="10" s="1"/>
  <c r="B13" i="10" s="1"/>
  <c r="B12" i="10" s="1"/>
  <c r="B23" i="10"/>
  <c r="B22" i="10" s="1"/>
  <c r="B30" i="10"/>
  <c r="B29" i="10" s="1"/>
  <c r="B28" i="10" s="1"/>
  <c r="B37" i="10"/>
  <c r="B36" i="10" s="1"/>
  <c r="B43" i="10"/>
  <c r="B44" i="10"/>
  <c r="B51" i="10"/>
  <c r="B50" i="10" s="1"/>
  <c r="B49" i="10" s="1"/>
  <c r="B58" i="10"/>
  <c r="B57" i="10" s="1"/>
  <c r="A22" i="10"/>
  <c r="A23" i="10"/>
  <c r="A30" i="10"/>
  <c r="A29" i="10" s="1"/>
  <c r="A28" i="10" s="1"/>
  <c r="A37" i="10"/>
  <c r="A36" i="10" s="1"/>
  <c r="A44" i="10"/>
  <c r="A43" i="10" s="1"/>
  <c r="A51" i="10"/>
  <c r="A50" i="10" s="1"/>
  <c r="A49" i="10" s="1"/>
  <c r="A58" i="10"/>
  <c r="A57" i="10" s="1"/>
  <c r="B11" i="10" l="1"/>
  <c r="B10" i="10" l="1"/>
  <c r="B9" i="10" l="1"/>
  <c r="D21" i="8" l="1"/>
  <c r="C22" i="8"/>
  <c r="B8" i="10"/>
  <c r="H14" i="1"/>
  <c r="C23" i="8" l="1"/>
  <c r="D23" i="8" s="1"/>
  <c r="E23" i="8" s="1"/>
  <c r="D22" i="8"/>
  <c r="E22" i="8" s="1"/>
  <c r="B7" i="10"/>
  <c r="F11" i="6"/>
  <c r="B6" i="10" l="1"/>
  <c r="E9" i="6"/>
  <c r="E10" i="6"/>
  <c r="B5" i="10" l="1"/>
  <c r="B4" i="10" l="1"/>
  <c r="E4" i="10" l="1"/>
  <c r="H14" i="8"/>
  <c r="H17" i="8" s="1"/>
  <c r="D23" i="1" l="1"/>
  <c r="E23" i="1" s="1"/>
  <c r="D24" i="1" l="1"/>
  <c r="E24" i="1" s="1"/>
  <c r="G21" i="8" l="1"/>
  <c r="F22" i="8" l="1"/>
  <c r="F24" i="1"/>
  <c r="L23" i="1"/>
  <c r="F23" i="1"/>
  <c r="L24" i="1"/>
  <c r="F21" i="8" l="1"/>
  <c r="F21" i="1"/>
  <c r="Y21" i="1"/>
  <c r="L21" i="8"/>
  <c r="L22" i="1"/>
  <c r="L21" i="1"/>
  <c r="Q26" i="1" l="1"/>
  <c r="Q25" i="1"/>
  <c r="Q23" i="8"/>
  <c r="Q22" i="8"/>
  <c r="Q22" i="1"/>
  <c r="Y21" i="8"/>
  <c r="AB22" i="8" s="1"/>
  <c r="F22" i="1"/>
  <c r="Q23" i="1"/>
  <c r="Q24" i="1"/>
  <c r="K21" i="8"/>
  <c r="K21" i="1"/>
  <c r="K22" i="8" l="1"/>
  <c r="I25" i="8" s="1"/>
  <c r="J22" i="8"/>
  <c r="J22" i="1"/>
  <c r="K22" i="1"/>
  <c r="I23" i="1" s="1"/>
  <c r="K23" i="8" l="1"/>
  <c r="J23" i="8"/>
  <c r="K23" i="1"/>
  <c r="I24" i="1" s="1"/>
  <c r="J23" i="1"/>
  <c r="J25" i="8" l="1"/>
  <c r="K14" i="8"/>
  <c r="K24" i="1"/>
  <c r="J24" i="1"/>
  <c r="K25" i="1" l="1"/>
  <c r="I25" i="1"/>
  <c r="J25" i="1" s="1"/>
  <c r="I26" i="1" l="1"/>
  <c r="J26" i="1" s="1"/>
  <c r="K26" i="1"/>
  <c r="R21" i="8" l="1"/>
  <c r="K14" i="1" l="1"/>
  <c r="J27" i="1" l="1"/>
  <c r="I27" i="1"/>
  <c r="X21" i="1"/>
  <c r="R21" i="1"/>
  <c r="H9" i="6" l="1"/>
  <c r="H10" i="6" l="1"/>
  <c r="D22" i="1" l="1"/>
  <c r="E22" i="1" l="1"/>
  <c r="W22" i="1" l="1"/>
  <c r="V22" i="1" s="1"/>
  <c r="AB22" i="1"/>
  <c r="AC22" i="1" s="1"/>
  <c r="X22" i="1" l="1"/>
  <c r="R22" i="1" s="1"/>
  <c r="Y22" i="1"/>
  <c r="AB23" i="1" l="1"/>
  <c r="W23" i="1"/>
  <c r="V23" i="1" s="1"/>
  <c r="X23" i="1" l="1"/>
  <c r="Y23" i="1"/>
  <c r="AC23" i="1"/>
  <c r="W24" i="1"/>
  <c r="V24" i="1" s="1"/>
  <c r="Y24" i="1" s="1"/>
  <c r="AB24" i="1"/>
  <c r="R23" i="1"/>
  <c r="AB25" i="1" l="1"/>
  <c r="X24" i="1"/>
  <c r="AC24" i="1"/>
  <c r="W25" i="1" s="1"/>
  <c r="V25" i="1" s="1"/>
  <c r="X25" i="1" s="1"/>
  <c r="R24" i="1" l="1"/>
  <c r="R25" i="1"/>
  <c r="AC25" i="1"/>
  <c r="Y25" i="1"/>
  <c r="AB26" i="1" l="1"/>
  <c r="W26" i="1"/>
  <c r="V26" i="1" s="1"/>
  <c r="AC26" i="1" l="1"/>
  <c r="X26" i="1"/>
  <c r="B22" i="8" s="1"/>
  <c r="W22" i="8" s="1"/>
  <c r="Y26" i="1"/>
  <c r="R26" i="1" l="1"/>
  <c r="W27" i="1" l="1"/>
  <c r="V27" i="1" l="1"/>
  <c r="X27" i="1" l="1"/>
  <c r="V22" i="8" l="1"/>
  <c r="R27" i="1"/>
  <c r="R30" i="1"/>
  <c r="K15" i="1" l="1"/>
  <c r="R31" i="1"/>
  <c r="K16" i="1" s="1"/>
  <c r="K17" i="1" s="1"/>
  <c r="S22" i="1"/>
  <c r="S23" i="1"/>
  <c r="S24" i="1"/>
  <c r="S25" i="1"/>
  <c r="S26" i="1"/>
  <c r="Y22" i="8"/>
  <c r="X22" i="8"/>
  <c r="AC22" i="8"/>
  <c r="W23" i="8" l="1"/>
  <c r="R22" i="8"/>
  <c r="S27" i="1"/>
  <c r="S28" i="1" s="1"/>
  <c r="AB23" i="8"/>
  <c r="AC23" i="8" l="1"/>
  <c r="T22" i="1"/>
  <c r="T23" i="1"/>
  <c r="T24" i="1"/>
  <c r="T26" i="1"/>
  <c r="V23" i="8"/>
  <c r="T25" i="1"/>
  <c r="T27" i="1" l="1"/>
  <c r="H16" i="1" s="1"/>
  <c r="X23" i="8"/>
  <c r="Y23" i="8"/>
  <c r="R23" i="8" l="1"/>
  <c r="R29" i="8" l="1"/>
  <c r="K16" i="8" s="1"/>
  <c r="K17" i="8" s="1"/>
  <c r="K15" i="8"/>
  <c r="S22" i="8"/>
  <c r="S25" i="8" s="1"/>
  <c r="T24" i="8" s="1"/>
  <c r="S23" i="8"/>
  <c r="S26" i="8" l="1"/>
  <c r="T22" i="8" l="1"/>
  <c r="T23" i="8"/>
  <c r="T25" i="8" l="1"/>
  <c r="H16" i="8"/>
</calcChain>
</file>

<file path=xl/sharedStrings.xml><?xml version="1.0" encoding="utf-8"?>
<sst xmlns="http://schemas.openxmlformats.org/spreadsheetml/2006/main" count="97" uniqueCount="55">
  <si>
    <t>VN</t>
  </si>
  <si>
    <t>Precio</t>
  </si>
  <si>
    <t>Fecha</t>
  </si>
  <si>
    <t>Capital</t>
  </si>
  <si>
    <t>Total</t>
  </si>
  <si>
    <t>Saldo</t>
  </si>
  <si>
    <t>Mínimo</t>
  </si>
  <si>
    <t>Máximo</t>
  </si>
  <si>
    <t>Flujo Inversor</t>
  </si>
  <si>
    <t>TIREA</t>
  </si>
  <si>
    <t>TNA</t>
  </si>
  <si>
    <t>TIR Solicitada</t>
  </si>
  <si>
    <t>Duration</t>
  </si>
  <si>
    <t>Ds</t>
  </si>
  <si>
    <t>Spread sobre BADLAR</t>
  </si>
  <si>
    <t xml:space="preserve">Fecha de liquidación </t>
  </si>
  <si>
    <t xml:space="preserve">Interés </t>
  </si>
  <si>
    <t>Monto</t>
  </si>
  <si>
    <t>Cupón</t>
  </si>
  <si>
    <t>VRDA</t>
  </si>
  <si>
    <t>VRDB</t>
  </si>
  <si>
    <t>Monto Total</t>
  </si>
  <si>
    <t xml:space="preserve">% Prt. </t>
  </si>
  <si>
    <t>Interés</t>
  </si>
  <si>
    <t>BADLAR APLICABLE</t>
  </si>
  <si>
    <t xml:space="preserve">BADLAR + Spread </t>
  </si>
  <si>
    <t>BADLAR APLIC</t>
  </si>
  <si>
    <t xml:space="preserve">La presente planilla de cálculo debe ser considerada por el interesado al sólo efecto ilustrativo y ejemplificativo. Los resultados que esta arroje no serán vinculantes y pueden sufrir variaciones ante cambios en cualquiera de los supuestos de elaboración. A los efectos de la suscripción de los Valores de Deuda Fiduciaria, el interesado deberá basarse en sus propios cálculos y evaluación de la información publicada en el Suplemento de Prospecto y, en particular, las consideraciones de riesgo para la inversión. </t>
  </si>
  <si>
    <t>Badlar Proy</t>
  </si>
  <si>
    <t xml:space="preserve">TIR Real </t>
  </si>
  <si>
    <t>TNA Real</t>
  </si>
  <si>
    <t>VDF A PROSPECTO</t>
  </si>
  <si>
    <t>VDFA - BADLAR Proyectada</t>
  </si>
  <si>
    <t xml:space="preserve">VDF B - Prospecto </t>
  </si>
  <si>
    <t>VDFB - BADLAR Proyectada</t>
  </si>
  <si>
    <t>Spread Badlar</t>
  </si>
  <si>
    <t>Días</t>
  </si>
  <si>
    <r>
      <rPr>
        <b/>
        <u/>
        <sz val="10"/>
        <color indexed="8"/>
        <rFont val="Calibri"/>
        <family val="2"/>
      </rPr>
      <t>Instrucciones</t>
    </r>
    <r>
      <rPr>
        <sz val="10"/>
        <color theme="1"/>
        <rFont val="Calibri"/>
        <family val="2"/>
        <scheme val="minor"/>
      </rPr>
      <t xml:space="preserve">: ingrese en la celda I12 Tasa Interna de Retorno (TIR) solicitada.  </t>
    </r>
  </si>
  <si>
    <r>
      <rPr>
        <b/>
        <u/>
        <sz val="10"/>
        <rFont val="Calibri"/>
        <family val="2"/>
      </rPr>
      <t>Instrucciones</t>
    </r>
    <r>
      <rPr>
        <sz val="10"/>
        <rFont val="Calibri"/>
        <family val="2"/>
      </rPr>
      <t>: ingrese en la celda I12 Tasa Interna de Retorno (TIR) solicitada.</t>
    </r>
  </si>
  <si>
    <t>Calificación (FIX)</t>
  </si>
  <si>
    <t>Duration (meses)</t>
  </si>
  <si>
    <t>VALOR</t>
  </si>
  <si>
    <t>Control</t>
  </si>
  <si>
    <t>FECHA</t>
  </si>
  <si>
    <t>control</t>
  </si>
  <si>
    <t>flujo disponible</t>
  </si>
  <si>
    <t>A1 sf (arg)</t>
  </si>
  <si>
    <t>Valor nominal créditos fideicomitidos</t>
  </si>
  <si>
    <t>% del Valor fid.</t>
  </si>
  <si>
    <t>Plazo (meses)</t>
  </si>
  <si>
    <t>A2 sf (arg)</t>
  </si>
  <si>
    <t>FIDEICOMISO FINANCIERO AGROFINA XXVIII - VDF A</t>
  </si>
  <si>
    <t>FIDEICOMISO FINANCIERO AGROFINA XXVIII - VDF B</t>
  </si>
  <si>
    <t>Badlar + 100 bps 
(Min 42% - Max 52%)</t>
  </si>
  <si>
    <t>Badlar + 200 bps 
(Min 43% - Max 53%)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</si>
</sst>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 &quot;$&quot;\ * #,##0_ ;_ &quot;$&quot;\ * \-#,##0_ ;_ &quot;$&quot;\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000%"/>
    <numFmt numFmtId="168" formatCode="#,##0\ &quot;bps&quot;"/>
    <numFmt numFmtId="169" formatCode="_ * #,##0_ ;_ * \-#,##0_ ;_ * &quot;-&quot;??_ ;_ @_ "/>
    <numFmt numFmtId="170" formatCode="_ * #,##0.00000_ ;_ * \-#,##0.00000_ ;_ * &quot;-&quot;??_ ;_ @_ "/>
    <numFmt numFmtId="171" formatCode="_ [$$-2C0A]\ * #,##0_ ;_ [$$-2C0A]\ * \-#,##0_ ;_ [$$-2C0A]\ * &quot;-&quot;??_ ;_ @_ "/>
    <numFmt numFmtId="172" formatCode="0.0%"/>
    <numFmt numFmtId="173" formatCode="_ * #,##0.0000_ ;_ * \-#,##0.0000_ ;_ * &quot;-&quot;??_ ;_ @_ "/>
    <numFmt numFmtId="174" formatCode="0.000"/>
    <numFmt numFmtId="175" formatCode="0.00000000"/>
    <numFmt numFmtId="176" formatCode="_ * #,##0.000_ ;_ * \-#,##0.000_ ;_ * &quot;-&quot;??_ ;_ @_ "/>
    <numFmt numFmtId="177" formatCode="0.0000"/>
    <numFmt numFmtId="178" formatCode="0.000%"/>
    <numFmt numFmtId="179" formatCode="[$-F800]dddd\,\ mmmm\ dd\,\ yyyy"/>
    <numFmt numFmtId="180" formatCode="0.000000"/>
    <numFmt numFmtId="181" formatCode="_-* #,##0_-;\-* #,##0_-;_-* &quot;-&quot;????_-;_-@_-"/>
    <numFmt numFmtId="182" formatCode="_-* #,##0.00000_-;\-* #,##0.00000_-;_-* &quot;-&quot;?????_-;_-@_-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sz val="10"/>
      <name val="Arial"/>
      <family val="2"/>
    </font>
    <font>
      <b/>
      <sz val="10"/>
      <color indexed="9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u/>
      <sz val="10"/>
      <color indexed="8"/>
      <name val="Calibri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9" fontId="7" fillId="0" borderId="0" applyFont="0" applyFill="0" applyBorder="0" applyAlignment="0" applyProtection="0"/>
    <xf numFmtId="0" fontId="2" fillId="0" borderId="0"/>
  </cellStyleXfs>
  <cellXfs count="199">
    <xf numFmtId="0" fontId="0" fillId="0" borderId="0" xfId="0"/>
    <xf numFmtId="0" fontId="0" fillId="3" borderId="0" xfId="0" applyFill="1" applyProtection="1">
      <protection hidden="1"/>
    </xf>
    <xf numFmtId="10" fontId="7" fillId="3" borderId="0" xfId="6" applyNumberFormat="1" applyFont="1" applyFill="1" applyProtection="1">
      <protection hidden="1"/>
    </xf>
    <xf numFmtId="9" fontId="0" fillId="3" borderId="0" xfId="0" applyNumberFormat="1" applyFill="1" applyAlignment="1" applyProtection="1">
      <alignment horizontal="center"/>
      <protection hidden="1"/>
    </xf>
    <xf numFmtId="0" fontId="8" fillId="0" borderId="0" xfId="0" applyFont="1" applyAlignment="1">
      <alignment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vertical="center"/>
    </xf>
    <xf numFmtId="10" fontId="10" fillId="5" borderId="10" xfId="0" applyNumberFormat="1" applyFont="1" applyFill="1" applyBorder="1" applyAlignment="1">
      <alignment horizontal="center" vertical="center"/>
    </xf>
    <xf numFmtId="169" fontId="10" fillId="5" borderId="11" xfId="2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vertical="center"/>
    </xf>
    <xf numFmtId="10" fontId="10" fillId="5" borderId="12" xfId="0" applyNumberFormat="1" applyFont="1" applyFill="1" applyBorder="1" applyAlignment="1">
      <alignment horizontal="center" vertical="center"/>
    </xf>
    <xf numFmtId="169" fontId="10" fillId="5" borderId="8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2" borderId="0" xfId="0" applyFont="1" applyFill="1" applyProtection="1">
      <protection hidden="1"/>
    </xf>
    <xf numFmtId="0" fontId="0" fillId="3" borderId="0" xfId="0" applyFont="1" applyFill="1" applyProtection="1">
      <protection hidden="1"/>
    </xf>
    <xf numFmtId="0" fontId="0" fillId="2" borderId="0" xfId="0" applyFont="1" applyFill="1" applyBorder="1" applyProtection="1">
      <protection hidden="1"/>
    </xf>
    <xf numFmtId="0" fontId="11" fillId="2" borderId="0" xfId="5" applyFont="1" applyFill="1" applyProtection="1">
      <protection hidden="1"/>
    </xf>
    <xf numFmtId="167" fontId="11" fillId="2" borderId="0" xfId="5" applyNumberFormat="1" applyFont="1" applyFill="1" applyProtection="1">
      <protection hidden="1"/>
    </xf>
    <xf numFmtId="0" fontId="12" fillId="4" borderId="8" xfId="5" applyFont="1" applyFill="1" applyBorder="1" applyAlignment="1" applyProtection="1">
      <alignment horizontal="center"/>
      <protection hidden="1"/>
    </xf>
    <xf numFmtId="171" fontId="12" fillId="4" borderId="8" xfId="3" applyNumberFormat="1" applyFont="1" applyFill="1" applyBorder="1" applyProtection="1">
      <protection hidden="1"/>
    </xf>
    <xf numFmtId="0" fontId="13" fillId="2" borderId="0" xfId="5" applyFont="1" applyFill="1" applyProtection="1">
      <protection hidden="1"/>
    </xf>
    <xf numFmtId="167" fontId="14" fillId="2" borderId="0" xfId="5" applyNumberFormat="1" applyFont="1" applyFill="1" applyProtection="1">
      <protection hidden="1"/>
    </xf>
    <xf numFmtId="0" fontId="14" fillId="2" borderId="0" xfId="5" applyFont="1" applyFill="1" applyAlignment="1" applyProtection="1">
      <alignment horizontal="center"/>
      <protection hidden="1"/>
    </xf>
    <xf numFmtId="0" fontId="14" fillId="3" borderId="0" xfId="5" applyFont="1" applyFill="1" applyProtection="1">
      <protection hidden="1"/>
    </xf>
    <xf numFmtId="0" fontId="15" fillId="2" borderId="0" xfId="5" applyFont="1" applyFill="1" applyProtection="1">
      <protection hidden="1"/>
    </xf>
    <xf numFmtId="0" fontId="16" fillId="2" borderId="0" xfId="0" applyFont="1" applyFill="1" applyBorder="1" applyAlignment="1" applyProtection="1">
      <alignment horizontal="center" wrapText="1"/>
      <protection hidden="1"/>
    </xf>
    <xf numFmtId="10" fontId="12" fillId="4" borderId="8" xfId="5" applyNumberFormat="1" applyFont="1" applyFill="1" applyBorder="1" applyAlignment="1" applyProtection="1">
      <alignment horizontal="center"/>
      <protection hidden="1"/>
    </xf>
    <xf numFmtId="168" fontId="12" fillId="4" borderId="8" xfId="5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5" applyFont="1" applyFill="1" applyProtection="1">
      <protection hidden="1"/>
    </xf>
    <xf numFmtId="14" fontId="12" fillId="4" borderId="8" xfId="5" applyNumberFormat="1" applyFont="1" applyFill="1" applyBorder="1" applyAlignment="1" applyProtection="1">
      <alignment horizontal="center"/>
      <protection hidden="1"/>
    </xf>
    <xf numFmtId="14" fontId="17" fillId="3" borderId="0" xfId="5" applyNumberFormat="1" applyFont="1" applyFill="1" applyBorder="1" applyAlignment="1" applyProtection="1">
      <alignment horizontal="center"/>
      <protection hidden="1"/>
    </xf>
    <xf numFmtId="0" fontId="12" fillId="4" borderId="2" xfId="5" applyFont="1" applyFill="1" applyBorder="1" applyAlignment="1" applyProtection="1">
      <alignment horizontal="center" vertical="center"/>
      <protection hidden="1"/>
    </xf>
    <xf numFmtId="0" fontId="12" fillId="4" borderId="18" xfId="5" applyFont="1" applyFill="1" applyBorder="1" applyAlignment="1" applyProtection="1">
      <alignment horizontal="center" vertical="center"/>
      <protection hidden="1"/>
    </xf>
    <xf numFmtId="10" fontId="0" fillId="3" borderId="0" xfId="0" applyNumberFormat="1" applyFont="1" applyFill="1" applyProtection="1">
      <protection hidden="1"/>
    </xf>
    <xf numFmtId="9" fontId="0" fillId="3" borderId="0" xfId="0" applyNumberFormat="1" applyFont="1" applyFill="1" applyAlignment="1" applyProtection="1">
      <alignment horizontal="center"/>
      <protection hidden="1"/>
    </xf>
    <xf numFmtId="14" fontId="19" fillId="3" borderId="0" xfId="0" applyNumberFormat="1" applyFont="1" applyFill="1" applyProtection="1">
      <protection hidden="1"/>
    </xf>
    <xf numFmtId="0" fontId="10" fillId="3" borderId="0" xfId="0" applyFont="1" applyFill="1" applyAlignment="1">
      <alignment vertical="center"/>
    </xf>
    <xf numFmtId="0" fontId="0" fillId="3" borderId="0" xfId="0" applyFont="1" applyFill="1" applyAlignment="1" applyProtection="1">
      <alignment horizontal="center"/>
      <protection hidden="1"/>
    </xf>
    <xf numFmtId="0" fontId="20" fillId="2" borderId="0" xfId="5" applyFont="1" applyFill="1" applyProtection="1">
      <protection hidden="1"/>
    </xf>
    <xf numFmtId="0" fontId="19" fillId="3" borderId="0" xfId="0" applyFont="1" applyFill="1" applyProtection="1">
      <protection hidden="1"/>
    </xf>
    <xf numFmtId="0" fontId="19" fillId="2" borderId="0" xfId="0" applyFont="1" applyFill="1" applyProtection="1">
      <protection hidden="1"/>
    </xf>
    <xf numFmtId="167" fontId="17" fillId="6" borderId="8" xfId="5" applyNumberFormat="1" applyFont="1" applyFill="1" applyBorder="1" applyAlignment="1" applyProtection="1">
      <alignment horizontal="center"/>
      <protection locked="0"/>
    </xf>
    <xf numFmtId="0" fontId="17" fillId="2" borderId="0" xfId="5" applyFont="1" applyFill="1" applyProtection="1">
      <protection hidden="1"/>
    </xf>
    <xf numFmtId="10" fontId="17" fillId="6" borderId="8" xfId="5" applyNumberFormat="1" applyFont="1" applyFill="1" applyBorder="1" applyAlignment="1" applyProtection="1">
      <alignment horizontal="center"/>
      <protection locked="0"/>
    </xf>
    <xf numFmtId="0" fontId="21" fillId="2" borderId="0" xfId="5" applyFont="1" applyFill="1" applyProtection="1">
      <protection hidden="1"/>
    </xf>
    <xf numFmtId="169" fontId="20" fillId="2" borderId="0" xfId="2" applyNumberFormat="1" applyFont="1" applyFill="1" applyProtection="1">
      <protection hidden="1"/>
    </xf>
    <xf numFmtId="0" fontId="12" fillId="4" borderId="8" xfId="5" applyFont="1" applyFill="1" applyBorder="1" applyAlignment="1" applyProtection="1">
      <alignment horizontal="left"/>
      <protection hidden="1"/>
    </xf>
    <xf numFmtId="173" fontId="12" fillId="4" borderId="8" xfId="2" applyNumberFormat="1" applyFont="1" applyFill="1" applyBorder="1" applyAlignment="1" applyProtection="1">
      <alignment horizontal="right"/>
      <protection hidden="1"/>
    </xf>
    <xf numFmtId="0" fontId="20" fillId="3" borderId="0" xfId="5" applyFont="1" applyFill="1" applyProtection="1">
      <protection hidden="1"/>
    </xf>
    <xf numFmtId="10" fontId="12" fillId="4" borderId="8" xfId="6" applyNumberFormat="1" applyFont="1" applyFill="1" applyBorder="1" applyAlignment="1" applyProtection="1">
      <alignment horizontal="right"/>
      <protection hidden="1"/>
    </xf>
    <xf numFmtId="2" fontId="17" fillId="3" borderId="0" xfId="0" applyNumberFormat="1" applyFont="1" applyFill="1" applyAlignment="1" applyProtection="1">
      <alignment horizontal="center"/>
      <protection hidden="1"/>
    </xf>
    <xf numFmtId="10" fontId="19" fillId="3" borderId="0" xfId="0" applyNumberFormat="1" applyFont="1" applyFill="1" applyProtection="1">
      <protection hidden="1"/>
    </xf>
    <xf numFmtId="14" fontId="17" fillId="3" borderId="4" xfId="0" applyNumberFormat="1" applyFont="1" applyFill="1" applyBorder="1" applyAlignment="1" applyProtection="1">
      <alignment horizontal="center"/>
      <protection hidden="1"/>
    </xf>
    <xf numFmtId="169" fontId="14" fillId="0" borderId="13" xfId="2" applyNumberFormat="1" applyFont="1" applyBorder="1"/>
    <xf numFmtId="169" fontId="14" fillId="0" borderId="22" xfId="2" applyNumberFormat="1" applyFont="1" applyBorder="1"/>
    <xf numFmtId="0" fontId="14" fillId="3" borderId="0" xfId="0" applyFont="1" applyFill="1" applyProtection="1">
      <protection hidden="1"/>
    </xf>
    <xf numFmtId="171" fontId="14" fillId="3" borderId="0" xfId="0" applyNumberFormat="1" applyFont="1" applyFill="1" applyProtection="1">
      <protection hidden="1"/>
    </xf>
    <xf numFmtId="169" fontId="14" fillId="3" borderId="0" xfId="2" applyNumberFormat="1" applyFont="1" applyFill="1" applyProtection="1">
      <protection hidden="1"/>
    </xf>
    <xf numFmtId="14" fontId="22" fillId="4" borderId="2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171" fontId="23" fillId="4" borderId="2" xfId="0" applyNumberFormat="1" applyFont="1" applyFill="1" applyBorder="1" applyProtection="1">
      <protection hidden="1"/>
    </xf>
    <xf numFmtId="0" fontId="17" fillId="3" borderId="16" xfId="0" applyFont="1" applyFill="1" applyBorder="1" applyProtection="1">
      <protection hidden="1"/>
    </xf>
    <xf numFmtId="0" fontId="17" fillId="3" borderId="3" xfId="0" applyFont="1" applyFill="1" applyBorder="1" applyProtection="1">
      <protection hidden="1"/>
    </xf>
    <xf numFmtId="0" fontId="17" fillId="3" borderId="17" xfId="0" applyFont="1" applyFill="1" applyBorder="1" applyProtection="1">
      <protection hidden="1"/>
    </xf>
    <xf numFmtId="10" fontId="14" fillId="3" borderId="3" xfId="6" applyNumberFormat="1" applyFont="1" applyFill="1" applyBorder="1" applyProtection="1">
      <protection hidden="1"/>
    </xf>
    <xf numFmtId="169" fontId="19" fillId="3" borderId="0" xfId="2" applyNumberFormat="1" applyFont="1" applyFill="1" applyProtection="1">
      <protection hidden="1"/>
    </xf>
    <xf numFmtId="171" fontId="23" fillId="3" borderId="0" xfId="0" applyNumberFormat="1" applyFont="1" applyFill="1" applyBorder="1" applyProtection="1">
      <protection hidden="1"/>
    </xf>
    <xf numFmtId="166" fontId="0" fillId="3" borderId="0" xfId="2" applyFont="1" applyFill="1" applyProtection="1">
      <protection hidden="1"/>
    </xf>
    <xf numFmtId="10" fontId="0" fillId="3" borderId="0" xfId="6" applyNumberFormat="1" applyFont="1" applyFill="1" applyProtection="1">
      <protection hidden="1"/>
    </xf>
    <xf numFmtId="16" fontId="19" fillId="3" borderId="0" xfId="0" applyNumberFormat="1" applyFont="1" applyFill="1" applyProtection="1">
      <protection hidden="1"/>
    </xf>
    <xf numFmtId="170" fontId="19" fillId="3" borderId="0" xfId="2" applyNumberFormat="1" applyFont="1" applyFill="1" applyProtection="1">
      <protection hidden="1"/>
    </xf>
    <xf numFmtId="170" fontId="19" fillId="3" borderId="0" xfId="0" applyNumberFormat="1" applyFont="1" applyFill="1" applyProtection="1">
      <protection hidden="1"/>
    </xf>
    <xf numFmtId="166" fontId="19" fillId="3" borderId="0" xfId="2" applyFont="1" applyFill="1" applyProtection="1">
      <protection hidden="1"/>
    </xf>
    <xf numFmtId="166" fontId="19" fillId="3" borderId="0" xfId="0" applyNumberFormat="1" applyFont="1" applyFill="1" applyProtection="1">
      <protection hidden="1"/>
    </xf>
    <xf numFmtId="10" fontId="14" fillId="3" borderId="17" xfId="6" applyNumberFormat="1" applyFont="1" applyFill="1" applyBorder="1" applyProtection="1">
      <protection hidden="1"/>
    </xf>
    <xf numFmtId="14" fontId="19" fillId="3" borderId="0" xfId="0" applyNumberFormat="1" applyFont="1" applyFill="1" applyAlignment="1" applyProtection="1">
      <alignment horizontal="center"/>
      <protection hidden="1"/>
    </xf>
    <xf numFmtId="164" fontId="19" fillId="3" borderId="0" xfId="0" applyNumberFormat="1" applyFont="1" applyFill="1" applyProtection="1">
      <protection hidden="1"/>
    </xf>
    <xf numFmtId="0" fontId="14" fillId="3" borderId="0" xfId="0" applyFont="1" applyFill="1" applyAlignment="1" applyProtection="1">
      <alignment wrapText="1"/>
      <protection hidden="1"/>
    </xf>
    <xf numFmtId="10" fontId="19" fillId="3" borderId="0" xfId="6" applyNumberFormat="1" applyFont="1" applyFill="1" applyProtection="1">
      <protection hidden="1"/>
    </xf>
    <xf numFmtId="9" fontId="19" fillId="3" borderId="0" xfId="0" applyNumberFormat="1" applyFont="1" applyFill="1" applyAlignment="1" applyProtection="1">
      <alignment horizontal="center"/>
      <protection hidden="1"/>
    </xf>
    <xf numFmtId="0" fontId="6" fillId="3" borderId="17" xfId="0" applyFont="1" applyFill="1" applyBorder="1" applyProtection="1">
      <protection hidden="1"/>
    </xf>
    <xf numFmtId="10" fontId="6" fillId="3" borderId="17" xfId="6" applyNumberFormat="1" applyFont="1" applyFill="1" applyBorder="1" applyProtection="1">
      <protection hidden="1"/>
    </xf>
    <xf numFmtId="171" fontId="3" fillId="3" borderId="0" xfId="0" applyNumberFormat="1" applyFont="1" applyFill="1" applyBorder="1" applyProtection="1">
      <protection hidden="1"/>
    </xf>
    <xf numFmtId="169" fontId="23" fillId="4" borderId="6" xfId="2" applyNumberFormat="1" applyFont="1" applyFill="1" applyBorder="1" applyProtection="1">
      <protection hidden="1"/>
    </xf>
    <xf numFmtId="169" fontId="14" fillId="0" borderId="17" xfId="2" applyNumberFormat="1" applyFont="1" applyBorder="1"/>
    <xf numFmtId="169" fontId="14" fillId="0" borderId="28" xfId="2" applyNumberFormat="1" applyFont="1" applyBorder="1"/>
    <xf numFmtId="169" fontId="14" fillId="0" borderId="15" xfId="2" applyNumberFormat="1" applyFont="1" applyBorder="1"/>
    <xf numFmtId="169" fontId="14" fillId="0" borderId="29" xfId="2" applyNumberFormat="1" applyFont="1" applyBorder="1"/>
    <xf numFmtId="171" fontId="19" fillId="3" borderId="0" xfId="0" applyNumberFormat="1" applyFont="1" applyFill="1" applyProtection="1">
      <protection hidden="1"/>
    </xf>
    <xf numFmtId="172" fontId="19" fillId="3" borderId="0" xfId="0" applyNumberFormat="1" applyFont="1" applyFill="1" applyProtection="1">
      <protection hidden="1"/>
    </xf>
    <xf numFmtId="14" fontId="22" fillId="4" borderId="6" xfId="0" applyNumberFormat="1" applyFont="1" applyFill="1" applyBorder="1" applyAlignment="1" applyProtection="1">
      <alignment horizontal="center"/>
      <protection hidden="1"/>
    </xf>
    <xf numFmtId="0" fontId="0" fillId="3" borderId="19" xfId="0" applyFont="1" applyFill="1" applyBorder="1" applyProtection="1">
      <protection hidden="1"/>
    </xf>
    <xf numFmtId="0" fontId="0" fillId="3" borderId="0" xfId="0" applyFont="1" applyFill="1" applyBorder="1" applyAlignment="1" applyProtection="1">
      <alignment horizontal="center"/>
      <protection hidden="1"/>
    </xf>
    <xf numFmtId="14" fontId="19" fillId="3" borderId="0" xfId="0" applyNumberFormat="1" applyFont="1" applyFill="1" applyBorder="1" applyProtection="1">
      <protection hidden="1"/>
    </xf>
    <xf numFmtId="10" fontId="6" fillId="3" borderId="3" xfId="0" applyNumberFormat="1" applyFont="1" applyFill="1" applyBorder="1" applyProtection="1">
      <protection hidden="1"/>
    </xf>
    <xf numFmtId="169" fontId="19" fillId="3" borderId="0" xfId="2" applyNumberFormat="1" applyFont="1" applyFill="1" applyBorder="1" applyProtection="1">
      <protection hidden="1"/>
    </xf>
    <xf numFmtId="169" fontId="14" fillId="3" borderId="0" xfId="0" applyNumberFormat="1" applyFont="1" applyFill="1" applyProtection="1">
      <protection hidden="1"/>
    </xf>
    <xf numFmtId="169" fontId="19" fillId="3" borderId="0" xfId="0" applyNumberFormat="1" applyFont="1" applyFill="1" applyProtection="1">
      <protection hidden="1"/>
    </xf>
    <xf numFmtId="174" fontId="19" fillId="3" borderId="0" xfId="0" applyNumberFormat="1" applyFont="1" applyFill="1" applyProtection="1">
      <protection hidden="1"/>
    </xf>
    <xf numFmtId="175" fontId="0" fillId="0" borderId="0" xfId="0" applyNumberFormat="1"/>
    <xf numFmtId="14" fontId="0" fillId="3" borderId="0" xfId="0" applyNumberFormat="1" applyFont="1" applyFill="1" applyProtection="1">
      <protection hidden="1"/>
    </xf>
    <xf numFmtId="2" fontId="10" fillId="5" borderId="11" xfId="0" applyNumberFormat="1" applyFont="1" applyFill="1" applyBorder="1" applyAlignment="1">
      <alignment horizontal="center" vertical="center" wrapText="1"/>
    </xf>
    <xf numFmtId="14" fontId="17" fillId="3" borderId="5" xfId="0" applyNumberFormat="1" applyFont="1" applyFill="1" applyBorder="1" applyAlignment="1" applyProtection="1">
      <alignment horizontal="center"/>
      <protection hidden="1"/>
    </xf>
    <xf numFmtId="14" fontId="14" fillId="3" borderId="5" xfId="0" applyNumberFormat="1" applyFont="1" applyFill="1" applyBorder="1" applyAlignment="1" applyProtection="1">
      <alignment horizontal="center"/>
      <protection hidden="1"/>
    </xf>
    <xf numFmtId="176" fontId="0" fillId="0" borderId="0" xfId="2" applyNumberFormat="1" applyFont="1"/>
    <xf numFmtId="167" fontId="15" fillId="2" borderId="0" xfId="5" applyNumberFormat="1" applyFont="1" applyFill="1" applyProtection="1">
      <protection hidden="1"/>
    </xf>
    <xf numFmtId="0" fontId="12" fillId="4" borderId="21" xfId="5" applyFont="1" applyFill="1" applyBorder="1" applyAlignment="1" applyProtection="1">
      <alignment horizontal="center" vertical="center"/>
      <protection hidden="1"/>
    </xf>
    <xf numFmtId="0" fontId="12" fillId="4" borderId="21" xfId="5" applyFont="1" applyFill="1" applyBorder="1" applyAlignment="1" applyProtection="1">
      <alignment horizontal="center" vertical="center"/>
      <protection hidden="1"/>
    </xf>
    <xf numFmtId="14" fontId="14" fillId="3" borderId="4" xfId="0" applyNumberFormat="1" applyFont="1" applyFill="1" applyBorder="1" applyAlignment="1" applyProtection="1">
      <alignment horizontal="center"/>
      <protection hidden="1"/>
    </xf>
    <xf numFmtId="177" fontId="26" fillId="8" borderId="37" xfId="0" applyNumberFormat="1" applyFont="1" applyFill="1" applyBorder="1" applyAlignment="1">
      <alignment horizontal="right" vertical="center" wrapText="1"/>
    </xf>
    <xf numFmtId="177" fontId="26" fillId="7" borderId="37" xfId="0" applyNumberFormat="1" applyFont="1" applyFill="1" applyBorder="1" applyAlignment="1">
      <alignment horizontal="right" vertical="center" wrapText="1"/>
    </xf>
    <xf numFmtId="177" fontId="0" fillId="0" borderId="0" xfId="2" applyNumberFormat="1" applyFont="1"/>
    <xf numFmtId="0" fontId="19" fillId="0" borderId="1" xfId="0" applyFont="1" applyBorder="1" applyProtection="1">
      <protection hidden="1"/>
    </xf>
    <xf numFmtId="0" fontId="19" fillId="0" borderId="2" xfId="0" applyFont="1" applyBorder="1" applyProtection="1">
      <protection hidden="1"/>
    </xf>
    <xf numFmtId="177" fontId="0" fillId="0" borderId="0" xfId="0" applyNumberFormat="1"/>
    <xf numFmtId="0" fontId="25" fillId="7" borderId="38" xfId="0" applyFont="1" applyFill="1" applyBorder="1" applyAlignment="1">
      <alignment horizontal="center" wrapText="1"/>
    </xf>
    <xf numFmtId="177" fontId="25" fillId="7" borderId="38" xfId="0" applyNumberFormat="1" applyFont="1" applyFill="1" applyBorder="1" applyAlignment="1">
      <alignment horizontal="center" wrapText="1"/>
    </xf>
    <xf numFmtId="178" fontId="17" fillId="3" borderId="15" xfId="6" applyNumberFormat="1" applyFont="1" applyFill="1" applyBorder="1" applyProtection="1">
      <protection hidden="1"/>
    </xf>
    <xf numFmtId="167" fontId="17" fillId="6" borderId="8" xfId="6" applyNumberFormat="1" applyFont="1" applyFill="1" applyBorder="1" applyAlignment="1" applyProtection="1">
      <alignment horizontal="center"/>
      <protection locked="0"/>
    </xf>
    <xf numFmtId="179" fontId="26" fillId="7" borderId="37" xfId="0" applyNumberFormat="1" applyFont="1" applyFill="1" applyBorder="1" applyAlignment="1">
      <alignment horizontal="center" vertical="center" wrapText="1"/>
    </xf>
    <xf numFmtId="179" fontId="26" fillId="8" borderId="37" xfId="0" applyNumberFormat="1" applyFont="1" applyFill="1" applyBorder="1" applyAlignment="1">
      <alignment horizontal="center" vertical="center" wrapText="1"/>
    </xf>
    <xf numFmtId="177" fontId="26" fillId="9" borderId="37" xfId="0" applyNumberFormat="1" applyFont="1" applyFill="1" applyBorder="1" applyAlignment="1">
      <alignment horizontal="right" vertical="center" wrapText="1"/>
    </xf>
    <xf numFmtId="169" fontId="14" fillId="3" borderId="13" xfId="2" applyNumberFormat="1" applyFont="1" applyFill="1" applyBorder="1"/>
    <xf numFmtId="0" fontId="12" fillId="4" borderId="20" xfId="5" applyFont="1" applyFill="1" applyBorder="1" applyAlignment="1" applyProtection="1">
      <alignment horizontal="center" vertical="center"/>
      <protection hidden="1"/>
    </xf>
    <xf numFmtId="14" fontId="17" fillId="3" borderId="39" xfId="0" applyNumberFormat="1" applyFont="1" applyFill="1" applyBorder="1" applyAlignment="1" applyProtection="1">
      <alignment horizontal="center"/>
      <protection hidden="1"/>
    </xf>
    <xf numFmtId="178" fontId="19" fillId="3" borderId="0" xfId="6" applyNumberFormat="1" applyFont="1" applyFill="1" applyProtection="1">
      <protection hidden="1"/>
    </xf>
    <xf numFmtId="167" fontId="0" fillId="0" borderId="0" xfId="6" applyNumberFormat="1" applyFont="1"/>
    <xf numFmtId="10" fontId="6" fillId="3" borderId="18" xfId="6" applyNumberFormat="1" applyFont="1" applyFill="1" applyBorder="1" applyProtection="1">
      <protection hidden="1"/>
    </xf>
    <xf numFmtId="0" fontId="9" fillId="4" borderId="7" xfId="0" applyFont="1" applyFill="1" applyBorder="1" applyAlignment="1">
      <alignment horizontal="center" vertical="center"/>
    </xf>
    <xf numFmtId="169" fontId="0" fillId="3" borderId="0" xfId="2" applyNumberFormat="1" applyFont="1" applyFill="1" applyProtection="1">
      <protection hidden="1"/>
    </xf>
    <xf numFmtId="10" fontId="0" fillId="3" borderId="0" xfId="0" applyNumberFormat="1" applyFill="1" applyProtection="1">
      <protection hidden="1"/>
    </xf>
    <xf numFmtId="169" fontId="0" fillId="3" borderId="0" xfId="0" applyNumberFormat="1" applyFill="1" applyProtection="1">
      <protection hidden="1"/>
    </xf>
    <xf numFmtId="169" fontId="11" fillId="2" borderId="0" xfId="2" applyNumberFormat="1" applyFont="1" applyFill="1" applyProtection="1">
      <protection hidden="1"/>
    </xf>
    <xf numFmtId="172" fontId="19" fillId="3" borderId="0" xfId="6" applyNumberFormat="1" applyFont="1" applyFill="1" applyProtection="1">
      <protection hidden="1"/>
    </xf>
    <xf numFmtId="172" fontId="0" fillId="3" borderId="0" xfId="0" applyNumberFormat="1" applyFill="1" applyProtection="1">
      <protection hidden="1"/>
    </xf>
    <xf numFmtId="0" fontId="12" fillId="4" borderId="21" xfId="5" applyFont="1" applyFill="1" applyBorder="1" applyAlignment="1" applyProtection="1">
      <alignment horizontal="center" vertical="center"/>
      <protection hidden="1"/>
    </xf>
    <xf numFmtId="10" fontId="0" fillId="3" borderId="0" xfId="0" applyNumberFormat="1" applyFill="1" applyAlignment="1" applyProtection="1">
      <alignment vertical="center"/>
      <protection hidden="1"/>
    </xf>
    <xf numFmtId="166" fontId="11" fillId="2" borderId="0" xfId="2" applyNumberFormat="1" applyFont="1" applyFill="1" applyProtection="1">
      <protection hidden="1"/>
    </xf>
    <xf numFmtId="172" fontId="0" fillId="3" borderId="0" xfId="6" applyNumberFormat="1" applyFont="1" applyFill="1" applyProtection="1">
      <protection hidden="1"/>
    </xf>
    <xf numFmtId="14" fontId="23" fillId="4" borderId="2" xfId="0" applyNumberFormat="1" applyFont="1" applyFill="1" applyBorder="1" applyAlignment="1" applyProtection="1">
      <alignment horizontal="center"/>
      <protection hidden="1"/>
    </xf>
    <xf numFmtId="169" fontId="23" fillId="4" borderId="2" xfId="2" applyNumberFormat="1" applyFont="1" applyFill="1" applyBorder="1" applyProtection="1">
      <protection hidden="1"/>
    </xf>
    <xf numFmtId="169" fontId="19" fillId="2" borderId="0" xfId="2" applyNumberFormat="1" applyFont="1" applyFill="1" applyProtection="1">
      <protection hidden="1"/>
    </xf>
    <xf numFmtId="170" fontId="12" fillId="4" borderId="8" xfId="2" applyNumberFormat="1" applyFont="1" applyFill="1" applyBorder="1" applyAlignment="1" applyProtection="1">
      <alignment horizontal="right"/>
      <protection hidden="1"/>
    </xf>
    <xf numFmtId="170" fontId="0" fillId="3" borderId="0" xfId="2" applyNumberFormat="1" applyFont="1" applyFill="1" applyProtection="1">
      <protection hidden="1"/>
    </xf>
    <xf numFmtId="180" fontId="0" fillId="2" borderId="0" xfId="0" applyNumberFormat="1" applyFont="1" applyFill="1" applyBorder="1" applyProtection="1">
      <protection hidden="1"/>
    </xf>
    <xf numFmtId="166" fontId="12" fillId="4" borderId="8" xfId="2" applyNumberFormat="1" applyFont="1" applyFill="1" applyBorder="1" applyAlignment="1" applyProtection="1">
      <alignment horizontal="center"/>
      <protection hidden="1"/>
    </xf>
    <xf numFmtId="0" fontId="12" fillId="4" borderId="21" xfId="5" applyFont="1" applyFill="1" applyBorder="1" applyAlignment="1" applyProtection="1">
      <alignment horizontal="center" vertical="center"/>
      <protection hidden="1"/>
    </xf>
    <xf numFmtId="14" fontId="14" fillId="3" borderId="40" xfId="0" applyNumberFormat="1" applyFont="1" applyFill="1" applyBorder="1" applyAlignment="1" applyProtection="1">
      <alignment horizontal="center"/>
      <protection hidden="1"/>
    </xf>
    <xf numFmtId="169" fontId="14" fillId="0" borderId="41" xfId="2" applyNumberFormat="1" applyFont="1" applyBorder="1"/>
    <xf numFmtId="169" fontId="14" fillId="0" borderId="42" xfId="2" applyNumberFormat="1" applyFont="1" applyBorder="1"/>
    <xf numFmtId="169" fontId="14" fillId="0" borderId="32" xfId="2" applyNumberFormat="1" applyFont="1" applyBorder="1"/>
    <xf numFmtId="169" fontId="14" fillId="3" borderId="41" xfId="2" applyNumberFormat="1" applyFont="1" applyFill="1" applyBorder="1"/>
    <xf numFmtId="181" fontId="19" fillId="3" borderId="0" xfId="0" applyNumberFormat="1" applyFont="1" applyFill="1" applyProtection="1">
      <protection hidden="1"/>
    </xf>
    <xf numFmtId="167" fontId="19" fillId="3" borderId="0" xfId="0" applyNumberFormat="1" applyFont="1" applyFill="1" applyProtection="1">
      <protection hidden="1"/>
    </xf>
    <xf numFmtId="167" fontId="19" fillId="3" borderId="0" xfId="6" applyNumberFormat="1" applyFont="1" applyFill="1" applyProtection="1">
      <protection hidden="1"/>
    </xf>
    <xf numFmtId="182" fontId="0" fillId="3" borderId="0" xfId="0" applyNumberFormat="1" applyFont="1" applyFill="1" applyProtection="1">
      <protection hidden="1"/>
    </xf>
    <xf numFmtId="9" fontId="0" fillId="3" borderId="0" xfId="6" applyNumberFormat="1" applyFont="1" applyFill="1" applyProtection="1">
      <protection hidden="1"/>
    </xf>
    <xf numFmtId="169" fontId="0" fillId="0" borderId="0" xfId="2" applyNumberFormat="1" applyFont="1"/>
    <xf numFmtId="0" fontId="9" fillId="4" borderId="7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9" fillId="3" borderId="23" xfId="0" applyNumberFormat="1" applyFont="1" applyFill="1" applyBorder="1" applyAlignment="1" applyProtection="1">
      <alignment horizontal="left" vertical="center" wrapText="1"/>
      <protection hidden="1"/>
    </xf>
    <xf numFmtId="0" fontId="19" fillId="3" borderId="24" xfId="0" applyNumberFormat="1" applyFont="1" applyFill="1" applyBorder="1" applyAlignment="1" applyProtection="1">
      <alignment horizontal="left" vertical="center" wrapText="1"/>
      <protection hidden="1"/>
    </xf>
    <xf numFmtId="0" fontId="19" fillId="3" borderId="14" xfId="0" applyNumberFormat="1" applyFont="1" applyFill="1" applyBorder="1" applyAlignment="1" applyProtection="1">
      <alignment horizontal="left" vertical="center" wrapText="1"/>
      <protection hidden="1"/>
    </xf>
    <xf numFmtId="0" fontId="19" fillId="3" borderId="22" xfId="0" applyNumberFormat="1" applyFont="1" applyFill="1" applyBorder="1" applyAlignment="1" applyProtection="1">
      <alignment horizontal="left" vertical="center" wrapText="1"/>
      <protection hidden="1"/>
    </xf>
    <xf numFmtId="0" fontId="19" fillId="3" borderId="0" xfId="0" applyNumberFormat="1" applyFont="1" applyFill="1" applyBorder="1" applyAlignment="1" applyProtection="1">
      <alignment horizontal="left" vertical="center" wrapText="1"/>
      <protection hidden="1"/>
    </xf>
    <xf numFmtId="0" fontId="19" fillId="3" borderId="25" xfId="0" applyNumberFormat="1" applyFont="1" applyFill="1" applyBorder="1" applyAlignment="1" applyProtection="1">
      <alignment horizontal="left" vertical="center" wrapText="1"/>
      <protection hidden="1"/>
    </xf>
    <xf numFmtId="0" fontId="19" fillId="3" borderId="26" xfId="0" applyNumberFormat="1" applyFont="1" applyFill="1" applyBorder="1" applyAlignment="1" applyProtection="1">
      <alignment horizontal="left" vertical="center" wrapText="1"/>
      <protection hidden="1"/>
    </xf>
    <xf numFmtId="0" fontId="19" fillId="3" borderId="27" xfId="0" applyNumberFormat="1" applyFont="1" applyFill="1" applyBorder="1" applyAlignment="1" applyProtection="1">
      <alignment horizontal="left" vertical="center" wrapText="1"/>
      <protection hidden="1"/>
    </xf>
    <xf numFmtId="0" fontId="19" fillId="3" borderId="10" xfId="0" applyNumberFormat="1" applyFont="1" applyFill="1" applyBorder="1" applyAlignment="1" applyProtection="1">
      <alignment horizontal="left" vertical="center" wrapText="1"/>
      <protection hidden="1"/>
    </xf>
    <xf numFmtId="0" fontId="0" fillId="3" borderId="0" xfId="0" applyFont="1" applyFill="1" applyAlignment="1" applyProtection="1">
      <alignment horizontal="center"/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18" fillId="3" borderId="28" xfId="0" applyFont="1" applyFill="1" applyBorder="1" applyAlignment="1" applyProtection="1">
      <alignment horizontal="center" vertical="center" wrapText="1"/>
      <protection hidden="1"/>
    </xf>
    <xf numFmtId="0" fontId="18" fillId="3" borderId="29" xfId="0" applyFont="1" applyFill="1" applyBorder="1" applyAlignment="1" applyProtection="1">
      <alignment horizontal="center" vertical="center" wrapText="1"/>
      <protection hidden="1"/>
    </xf>
    <xf numFmtId="0" fontId="18" fillId="3" borderId="30" xfId="0" applyFont="1" applyFill="1" applyBorder="1" applyAlignment="1" applyProtection="1">
      <alignment horizontal="center" vertical="center"/>
      <protection hidden="1"/>
    </xf>
    <xf numFmtId="0" fontId="18" fillId="3" borderId="6" xfId="0" applyFont="1" applyFill="1" applyBorder="1" applyAlignment="1" applyProtection="1">
      <alignment horizontal="center" vertical="center"/>
      <protection hidden="1"/>
    </xf>
    <xf numFmtId="0" fontId="18" fillId="3" borderId="31" xfId="0" applyFont="1" applyFill="1" applyBorder="1" applyAlignment="1" applyProtection="1">
      <alignment horizontal="center" vertical="center"/>
      <protection hidden="1"/>
    </xf>
    <xf numFmtId="0" fontId="18" fillId="3" borderId="32" xfId="0" applyFont="1" applyFill="1" applyBorder="1" applyAlignment="1" applyProtection="1">
      <alignment horizontal="center" vertical="center"/>
      <protection hidden="1"/>
    </xf>
    <xf numFmtId="0" fontId="12" fillId="4" borderId="33" xfId="5" applyNumberFormat="1" applyFont="1" applyFill="1" applyBorder="1" applyAlignment="1" applyProtection="1">
      <alignment horizontal="center" vertical="center"/>
      <protection hidden="1"/>
    </xf>
    <xf numFmtId="0" fontId="12" fillId="4" borderId="34" xfId="5" applyNumberFormat="1" applyFont="1" applyFill="1" applyBorder="1" applyAlignment="1" applyProtection="1">
      <alignment horizontal="center" vertical="center"/>
      <protection hidden="1"/>
    </xf>
    <xf numFmtId="0" fontId="12" fillId="4" borderId="21" xfId="5" applyNumberFormat="1" applyFont="1" applyFill="1" applyBorder="1" applyAlignment="1" applyProtection="1">
      <alignment horizontal="center" vertical="center"/>
      <protection hidden="1"/>
    </xf>
    <xf numFmtId="0" fontId="14" fillId="3" borderId="7" xfId="0" applyFont="1" applyFill="1" applyBorder="1" applyAlignment="1" applyProtection="1">
      <alignment horizontal="left" wrapText="1"/>
      <protection hidden="1"/>
    </xf>
    <xf numFmtId="0" fontId="14" fillId="3" borderId="35" xfId="0" applyFont="1" applyFill="1" applyBorder="1" applyAlignment="1" applyProtection="1">
      <alignment horizontal="left" wrapText="1"/>
      <protection hidden="1"/>
    </xf>
    <xf numFmtId="0" fontId="14" fillId="3" borderId="12" xfId="0" applyFont="1" applyFill="1" applyBorder="1" applyAlignment="1" applyProtection="1">
      <alignment horizontal="left" wrapText="1"/>
      <protection hidden="1"/>
    </xf>
    <xf numFmtId="0" fontId="12" fillId="4" borderId="33" xfId="5" applyFont="1" applyFill="1" applyBorder="1" applyAlignment="1" applyProtection="1">
      <alignment horizontal="center" vertical="center"/>
      <protection hidden="1"/>
    </xf>
    <xf numFmtId="0" fontId="12" fillId="4" borderId="34" xfId="5" applyFont="1" applyFill="1" applyBorder="1" applyAlignment="1" applyProtection="1">
      <alignment horizontal="center" vertical="center"/>
      <protection hidden="1"/>
    </xf>
    <xf numFmtId="0" fontId="12" fillId="4" borderId="21" xfId="5" applyFont="1" applyFill="1" applyBorder="1" applyAlignment="1" applyProtection="1">
      <alignment horizontal="center" vertical="center"/>
      <protection hidden="1"/>
    </xf>
    <xf numFmtId="0" fontId="18" fillId="3" borderId="18" xfId="0" applyFont="1" applyFill="1" applyBorder="1" applyAlignment="1" applyProtection="1">
      <alignment horizontal="center" vertical="center" wrapText="1"/>
      <protection hidden="1"/>
    </xf>
    <xf numFmtId="0" fontId="18" fillId="3" borderId="6" xfId="0" applyFont="1" applyFill="1" applyBorder="1" applyAlignment="1" applyProtection="1">
      <alignment horizontal="center" vertical="center" wrapText="1"/>
      <protection hidden="1"/>
    </xf>
    <xf numFmtId="0" fontId="18" fillId="3" borderId="18" xfId="0" applyFont="1" applyFill="1" applyBorder="1" applyAlignment="1" applyProtection="1">
      <alignment horizontal="center" vertical="center"/>
      <protection hidden="1"/>
    </xf>
    <xf numFmtId="0" fontId="18" fillId="3" borderId="36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left" wrapText="1"/>
      <protection hidden="1"/>
    </xf>
    <xf numFmtId="0" fontId="14" fillId="3" borderId="0" xfId="0" applyFont="1" applyFill="1" applyAlignment="1" applyProtection="1">
      <alignment horizontal="left" wrapText="1"/>
      <protection hidden="1"/>
    </xf>
  </cellXfs>
  <cellStyles count="8">
    <cellStyle name="=C:\WINNT\SYSTEM32\COMMAND.COM" xfId="7"/>
    <cellStyle name="Comma 6" xfId="1"/>
    <cellStyle name="Millares" xfId="2" builtinId="3"/>
    <cellStyle name="Moneda_Calculadora Garbarino 45_v1" xfId="3"/>
    <cellStyle name="Normal" xfId="0" builtinId="0"/>
    <cellStyle name="Normal 2" xfId="4"/>
    <cellStyle name="Normal_Calculadora Garbarino 45_v1" xfId="5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358588</xdr:colOff>
      <xdr:row>1</xdr:row>
      <xdr:rowOff>123265</xdr:rowOff>
    </xdr:from>
    <xdr:to>
      <xdr:col>4</xdr:col>
      <xdr:colOff>100854</xdr:colOff>
      <xdr:row>5</xdr:row>
      <xdr:rowOff>163877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07" r="25697"/>
        <a:stretch/>
      </xdr:blipFill>
      <xdr:spPr>
        <a:xfrm>
          <a:off x="963706" y="313765"/>
          <a:ext cx="2398060" cy="8026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549090</xdr:colOff>
      <xdr:row>5</xdr:row>
      <xdr:rowOff>40612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07" r="25697"/>
        <a:stretch/>
      </xdr:blipFill>
      <xdr:spPr>
        <a:xfrm>
          <a:off x="874059" y="190500"/>
          <a:ext cx="2398060" cy="8026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549090</xdr:colOff>
      <xdr:row>6</xdr:row>
      <xdr:rowOff>40612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07" r="25697"/>
        <a:stretch/>
      </xdr:blipFill>
      <xdr:spPr>
        <a:xfrm>
          <a:off x="605118" y="381000"/>
          <a:ext cx="2398060" cy="802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J19"/>
  <sheetViews>
    <sheetView zoomScale="85" zoomScaleNormal="85" workbookViewId="0">
      <selection activeCell="A9" sqref="A9"/>
    </sheetView>
  </sheetViews>
  <sheetFormatPr baseColWidth="10" defaultColWidth="9.140625" defaultRowHeight="15" x14ac:dyDescent="0.25"/>
  <cols>
    <col min="1" max="1" width="9.140625" style="1"/>
    <col min="2" max="2" width="6.85546875" style="1" customWidth="1"/>
    <col min="3" max="4" width="16.42578125" style="1" customWidth="1"/>
    <col min="5" max="5" width="14" style="1" customWidth="1"/>
    <col min="6" max="6" width="16.42578125" style="1" customWidth="1"/>
    <col min="7" max="7" width="26.28515625" style="1" customWidth="1"/>
    <col min="8" max="8" width="18.28515625" style="1" hidden="1" customWidth="1"/>
    <col min="9" max="9" width="14.140625" style="1" customWidth="1"/>
    <col min="10" max="16384" width="9.140625" style="1"/>
  </cols>
  <sheetData>
    <row r="8" spans="3:10" ht="31.5" x14ac:dyDescent="0.25">
      <c r="C8" s="4"/>
      <c r="D8" s="131" t="s">
        <v>48</v>
      </c>
      <c r="E8" s="5" t="s">
        <v>22</v>
      </c>
      <c r="F8" s="6" t="s">
        <v>17</v>
      </c>
      <c r="G8" s="6" t="s">
        <v>18</v>
      </c>
      <c r="H8" s="6" t="s">
        <v>40</v>
      </c>
      <c r="I8" s="7" t="s">
        <v>39</v>
      </c>
    </row>
    <row r="9" spans="3:10" ht="31.5" x14ac:dyDescent="0.25">
      <c r="C9" s="8" t="s">
        <v>19</v>
      </c>
      <c r="D9" s="9">
        <f>+F9/F12</f>
        <v>1.2498604355272191</v>
      </c>
      <c r="E9" s="9">
        <f>+F9/F11</f>
        <v>0.88852672775478736</v>
      </c>
      <c r="F9" s="10">
        <f>+'VDF A'!H8</f>
        <v>881803533</v>
      </c>
      <c r="G9" s="11" t="s">
        <v>53</v>
      </c>
      <c r="H9" s="104">
        <f>+'VDF A'!I16</f>
        <v>0</v>
      </c>
      <c r="I9" s="11" t="s">
        <v>46</v>
      </c>
      <c r="J9" s="139"/>
    </row>
    <row r="10" spans="3:10" ht="31.5" x14ac:dyDescent="0.25">
      <c r="C10" s="12" t="s">
        <v>20</v>
      </c>
      <c r="D10" s="13">
        <f>+F10/F12</f>
        <v>0.15680567420870697</v>
      </c>
      <c r="E10" s="13">
        <f>+F10/F11</f>
        <v>0.11147327224521258</v>
      </c>
      <c r="F10" s="10">
        <f>+'VDF B'!H8</f>
        <v>110629790</v>
      </c>
      <c r="G10" s="11" t="s">
        <v>54</v>
      </c>
      <c r="H10" s="104">
        <f>+'VDF B'!I16</f>
        <v>0</v>
      </c>
      <c r="I10" s="11" t="s">
        <v>50</v>
      </c>
      <c r="J10" s="139"/>
    </row>
    <row r="11" spans="3:10" ht="27.75" customHeight="1" x14ac:dyDescent="0.25">
      <c r="C11" s="161" t="s">
        <v>21</v>
      </c>
      <c r="D11" s="162"/>
      <c r="E11" s="163"/>
      <c r="F11" s="14">
        <f>+SUM(F9:F10)</f>
        <v>992433323</v>
      </c>
      <c r="H11" s="15"/>
      <c r="I11" s="39"/>
    </row>
    <row r="12" spans="3:10" ht="27.75" customHeight="1" x14ac:dyDescent="0.25">
      <c r="C12" s="164" t="s">
        <v>47</v>
      </c>
      <c r="D12" s="165"/>
      <c r="E12" s="166"/>
      <c r="F12" s="14">
        <v>705521599</v>
      </c>
      <c r="G12" s="134"/>
    </row>
    <row r="13" spans="3:10" ht="13.5" customHeight="1" x14ac:dyDescent="0.25"/>
    <row r="14" spans="3:10" x14ac:dyDescent="0.25">
      <c r="D14" s="133"/>
      <c r="F14" s="132"/>
    </row>
    <row r="15" spans="3:10" x14ac:dyDescent="0.25">
      <c r="F15" s="134"/>
    </row>
    <row r="16" spans="3:10" x14ac:dyDescent="0.25">
      <c r="F16" s="132"/>
    </row>
    <row r="17" spans="6:6" x14ac:dyDescent="0.25">
      <c r="F17" s="141"/>
    </row>
    <row r="18" spans="6:6" x14ac:dyDescent="0.25">
      <c r="F18" s="71"/>
    </row>
    <row r="19" spans="6:6" x14ac:dyDescent="0.25">
      <c r="F19" s="133"/>
    </row>
  </sheetData>
  <mergeCells count="2">
    <mergeCell ref="C11:E11"/>
    <mergeCell ref="C12:E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52"/>
  <sheetViews>
    <sheetView showGridLines="0" tabSelected="1" zoomScale="85" zoomScaleNormal="85" workbookViewId="0">
      <selection activeCell="Y17" sqref="Y17"/>
    </sheetView>
  </sheetViews>
  <sheetFormatPr baseColWidth="10" defaultColWidth="9.140625" defaultRowHeight="15" outlineLevelCol="1" x14ac:dyDescent="0.25"/>
  <cols>
    <col min="1" max="1" width="13.140625" style="17" bestFit="1" customWidth="1"/>
    <col min="2" max="3" width="14.5703125" style="17" hidden="1" customWidth="1" outlineLevel="1"/>
    <col min="4" max="4" width="15" style="17" hidden="1" customWidth="1" outlineLevel="1"/>
    <col min="5" max="5" width="16.140625" style="17" hidden="1" customWidth="1" outlineLevel="1"/>
    <col min="6" max="6" width="11.28515625" style="17" hidden="1" customWidth="1" outlineLevel="1"/>
    <col min="7" max="7" width="27.7109375" style="17" customWidth="1" collapsed="1"/>
    <col min="8" max="8" width="18.140625" style="17" bestFit="1" customWidth="1"/>
    <col min="9" max="9" width="16.85546875" style="17" customWidth="1"/>
    <col min="10" max="10" width="17.42578125" style="17" customWidth="1"/>
    <col min="11" max="11" width="15.140625" style="17" customWidth="1"/>
    <col min="12" max="12" width="12.42578125" style="17" hidden="1" customWidth="1" outlineLevel="1"/>
    <col min="13" max="13" width="1.7109375" style="17" hidden="1" customWidth="1" outlineLevel="1"/>
    <col min="14" max="14" width="6.42578125" style="17" hidden="1" customWidth="1" outlineLevel="1"/>
    <col min="15" max="15" width="10" style="17" hidden="1" customWidth="1" outlineLevel="1"/>
    <col min="16" max="16" width="10.28515625" style="17" hidden="1" customWidth="1" outlineLevel="1"/>
    <col min="17" max="17" width="9.140625" style="17" hidden="1" customWidth="1" outlineLevel="1"/>
    <col min="18" max="20" width="17.85546875" style="17" hidden="1" customWidth="1" outlineLevel="1"/>
    <col min="21" max="21" width="9.85546875" style="17" bestFit="1" customWidth="1" collapsed="1"/>
    <col min="22" max="22" width="18.7109375" style="17" customWidth="1"/>
    <col min="23" max="23" width="14.7109375" style="17" bestFit="1" customWidth="1"/>
    <col min="24" max="24" width="17.42578125" style="17" bestFit="1" customWidth="1"/>
    <col min="25" max="25" width="15.42578125" style="17" customWidth="1"/>
    <col min="26" max="26" width="11.28515625" style="17" bestFit="1" customWidth="1"/>
    <col min="27" max="27" width="9.140625" style="17"/>
    <col min="28" max="28" width="16.42578125" style="17" hidden="1" customWidth="1" outlineLevel="1"/>
    <col min="29" max="29" width="13.42578125" style="17" hidden="1" customWidth="1" outlineLevel="1"/>
    <col min="30" max="30" width="9.140625" style="17" collapsed="1"/>
    <col min="31" max="16384" width="9.140625" style="17"/>
  </cols>
  <sheetData>
    <row r="2" spans="2:26" x14ac:dyDescent="0.25">
      <c r="J2" s="70"/>
      <c r="K2" s="70"/>
      <c r="W2" s="71"/>
    </row>
    <row r="3" spans="2:26" x14ac:dyDescent="0.25">
      <c r="J3" s="70"/>
      <c r="K3" s="70"/>
      <c r="W3" s="132"/>
    </row>
    <row r="4" spans="2:26" x14ac:dyDescent="0.25">
      <c r="B4" s="16"/>
      <c r="C4" s="16"/>
      <c r="D4" s="16"/>
      <c r="E4" s="16"/>
      <c r="G4" s="16"/>
      <c r="H4" s="16"/>
      <c r="I4" s="16"/>
      <c r="J4" s="16"/>
      <c r="K4" s="16"/>
      <c r="W4" s="141"/>
      <c r="Y4" s="141"/>
    </row>
    <row r="5" spans="2:26" x14ac:dyDescent="0.25">
      <c r="B5" s="16"/>
      <c r="C5" s="16"/>
      <c r="D5" s="16"/>
      <c r="E5" s="16"/>
      <c r="G5" s="177" t="s">
        <v>51</v>
      </c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</row>
    <row r="6" spans="2:26" x14ac:dyDescent="0.25">
      <c r="B6" s="18"/>
      <c r="C6" s="18"/>
      <c r="D6" s="18"/>
      <c r="E6" s="18"/>
      <c r="G6" s="19"/>
      <c r="H6" s="19"/>
      <c r="I6" s="19"/>
      <c r="J6" s="132"/>
    </row>
    <row r="7" spans="2:26" x14ac:dyDescent="0.25">
      <c r="B7" s="18"/>
      <c r="C7" s="18"/>
      <c r="D7" s="18"/>
      <c r="E7" s="18"/>
      <c r="G7" s="19"/>
      <c r="H7" s="19"/>
      <c r="I7" s="19"/>
      <c r="J7" s="135"/>
      <c r="K7" s="140"/>
      <c r="L7" s="19"/>
      <c r="M7" s="19"/>
      <c r="N7" s="19"/>
      <c r="O7" s="19"/>
      <c r="P7" s="19"/>
      <c r="Q7" s="19"/>
      <c r="R7" s="19"/>
      <c r="S7" s="19"/>
      <c r="T7" s="19"/>
      <c r="U7" s="19"/>
      <c r="X7" s="132"/>
      <c r="Y7" s="132"/>
    </row>
    <row r="8" spans="2:26" ht="15.6" customHeight="1" x14ac:dyDescent="0.25">
      <c r="B8" s="18"/>
      <c r="C8" s="18"/>
      <c r="D8" s="18"/>
      <c r="E8" s="18"/>
      <c r="G8" s="21" t="s">
        <v>0</v>
      </c>
      <c r="H8" s="22">
        <v>881803533</v>
      </c>
      <c r="I8" s="41"/>
      <c r="J8" s="140"/>
      <c r="K8" s="140"/>
      <c r="L8" s="19"/>
      <c r="M8" s="19"/>
      <c r="N8" s="19"/>
      <c r="O8" s="19"/>
      <c r="P8" s="19"/>
      <c r="Q8" s="19"/>
      <c r="R8" s="19"/>
      <c r="S8" s="19"/>
      <c r="T8" s="19"/>
      <c r="U8" s="19"/>
      <c r="X8" s="132"/>
      <c r="Y8" s="132"/>
      <c r="Z8" s="160"/>
    </row>
    <row r="9" spans="2:26" x14ac:dyDescent="0.25">
      <c r="B9" s="18"/>
      <c r="C9" s="18"/>
      <c r="D9" s="18"/>
      <c r="E9" s="18"/>
      <c r="G9" s="25"/>
      <c r="H9" s="26"/>
      <c r="I9" s="41"/>
      <c r="J9" s="144"/>
      <c r="K9" s="108"/>
      <c r="L9" s="42"/>
      <c r="M9" s="42"/>
      <c r="N9" s="42"/>
      <c r="O9" s="42"/>
      <c r="P9" s="42"/>
      <c r="Q9" s="42"/>
      <c r="R9" s="42"/>
      <c r="S9" s="42"/>
      <c r="T9" s="42"/>
      <c r="U9" s="42"/>
      <c r="V9" s="158"/>
      <c r="Z9"/>
    </row>
    <row r="10" spans="2:26" x14ac:dyDescent="0.25">
      <c r="B10" s="28"/>
      <c r="C10" s="28"/>
      <c r="D10" s="28"/>
      <c r="E10" s="28"/>
      <c r="G10" s="21" t="s">
        <v>6</v>
      </c>
      <c r="H10" s="29">
        <v>0.42</v>
      </c>
      <c r="I10" s="41"/>
      <c r="J10" s="21" t="s">
        <v>28</v>
      </c>
      <c r="K10" s="121">
        <v>0.44624999999999998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W10" s="36"/>
      <c r="X10" s="132"/>
      <c r="Y10" s="132"/>
      <c r="Z10"/>
    </row>
    <row r="11" spans="2:26" x14ac:dyDescent="0.25">
      <c r="B11" s="18"/>
      <c r="C11" s="147"/>
      <c r="D11" s="18"/>
      <c r="E11" s="18"/>
      <c r="G11" s="21" t="s">
        <v>7</v>
      </c>
      <c r="H11" s="29">
        <v>0.52</v>
      </c>
      <c r="I11" s="41"/>
      <c r="J11" s="45"/>
      <c r="K11" s="45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132"/>
      <c r="W11" s="132"/>
      <c r="X11" s="159"/>
      <c r="Z11"/>
    </row>
    <row r="12" spans="2:26" x14ac:dyDescent="0.25">
      <c r="B12" s="16"/>
      <c r="C12" s="16"/>
      <c r="D12" s="16"/>
      <c r="E12" s="16"/>
      <c r="G12" s="21" t="s">
        <v>14</v>
      </c>
      <c r="H12" s="30">
        <v>100</v>
      </c>
      <c r="I12" s="41"/>
      <c r="J12" s="21" t="s">
        <v>11</v>
      </c>
      <c r="K12" s="46">
        <v>0.55000000000000004</v>
      </c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132"/>
      <c r="Z12"/>
    </row>
    <row r="13" spans="2:26" x14ac:dyDescent="0.25">
      <c r="B13" s="16"/>
      <c r="C13" s="16"/>
      <c r="D13" s="16"/>
      <c r="E13" s="16"/>
      <c r="G13" s="25"/>
      <c r="H13" s="31"/>
      <c r="I13" s="41"/>
      <c r="J13" s="47"/>
      <c r="K13" s="47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70"/>
      <c r="Z13"/>
    </row>
    <row r="14" spans="2:26" x14ac:dyDescent="0.25">
      <c r="B14" s="16"/>
      <c r="C14" s="16"/>
      <c r="D14" s="16"/>
      <c r="E14" s="16"/>
      <c r="G14" s="21" t="s">
        <v>15</v>
      </c>
      <c r="H14" s="32">
        <f>+G21</f>
        <v>44680</v>
      </c>
      <c r="I14" s="48"/>
      <c r="J14" s="49" t="s">
        <v>1</v>
      </c>
      <c r="K14" s="145">
        <f>ROUND((XNPV(K12,J21:J26,G21:G26)/H8)*100,5)</f>
        <v>96.943049999999999</v>
      </c>
      <c r="L14" s="91"/>
      <c r="M14" s="42"/>
      <c r="N14" s="42"/>
      <c r="O14" s="42"/>
      <c r="P14" s="42"/>
      <c r="Q14" s="42"/>
      <c r="R14" s="42"/>
      <c r="S14" s="42"/>
      <c r="T14" s="42"/>
      <c r="U14" s="42"/>
      <c r="V14" s="132"/>
      <c r="X14" s="70"/>
      <c r="Z14"/>
    </row>
    <row r="15" spans="2:26" x14ac:dyDescent="0.25">
      <c r="B15" s="16"/>
      <c r="C15" s="16"/>
      <c r="D15" s="16"/>
      <c r="E15" s="16"/>
      <c r="G15" s="42"/>
      <c r="H15" s="33"/>
      <c r="I15" s="51"/>
      <c r="J15" s="49" t="s">
        <v>29</v>
      </c>
      <c r="K15" s="52">
        <f>+R30</f>
        <v>0.59707142710685734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Z15"/>
    </row>
    <row r="16" spans="2:26" x14ac:dyDescent="0.25">
      <c r="G16" s="21" t="s">
        <v>40</v>
      </c>
      <c r="H16" s="148">
        <f>+T27/365*12</f>
        <v>4.6059964306714551</v>
      </c>
      <c r="I16" s="53"/>
      <c r="J16" s="49" t="s">
        <v>30</v>
      </c>
      <c r="K16" s="52">
        <f>+R31</f>
        <v>0.47742422349069802</v>
      </c>
      <c r="L16" s="42"/>
      <c r="M16" s="42"/>
      <c r="N16" s="38"/>
      <c r="O16" s="42"/>
      <c r="P16" s="42"/>
      <c r="Q16" s="42"/>
      <c r="R16" s="42"/>
      <c r="S16" s="42"/>
      <c r="T16" s="101"/>
      <c r="U16" s="128"/>
      <c r="Z16"/>
    </row>
    <row r="17" spans="2:29" x14ac:dyDescent="0.25">
      <c r="G17" s="21" t="s">
        <v>49</v>
      </c>
      <c r="H17" s="148">
        <f>+(MAX(G21:G26)-G21)/365*12</f>
        <v>6.5753424657534243</v>
      </c>
      <c r="I17" s="53"/>
      <c r="J17" s="49" t="s">
        <v>35</v>
      </c>
      <c r="K17" s="52">
        <f>+K16-K10</f>
        <v>3.1174223490698039E-2</v>
      </c>
      <c r="L17" s="100"/>
      <c r="M17" s="42"/>
      <c r="N17" s="38"/>
      <c r="O17" s="42"/>
      <c r="P17" s="42"/>
      <c r="Q17" s="42"/>
      <c r="R17" s="42"/>
      <c r="S17" s="42"/>
      <c r="T17" s="42"/>
      <c r="U17" s="42"/>
      <c r="Z17"/>
    </row>
    <row r="18" spans="2:29" ht="15.75" thickBot="1" x14ac:dyDescent="0.3">
      <c r="G18" s="42"/>
      <c r="H18" s="42"/>
      <c r="I18" s="42"/>
      <c r="J18" s="42"/>
      <c r="K18" s="42"/>
      <c r="L18" s="42"/>
      <c r="M18" s="42"/>
      <c r="N18" s="75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</row>
    <row r="19" spans="2:29" ht="15.75" thickBot="1" x14ac:dyDescent="0.3">
      <c r="C19" s="178" t="s">
        <v>24</v>
      </c>
      <c r="D19" s="180" t="s">
        <v>25</v>
      </c>
      <c r="E19" s="182" t="s">
        <v>26</v>
      </c>
      <c r="G19" s="184" t="s">
        <v>31</v>
      </c>
      <c r="H19" s="185"/>
      <c r="I19" s="185"/>
      <c r="J19" s="185"/>
      <c r="K19" s="186"/>
      <c r="Q19" s="17" t="s">
        <v>13</v>
      </c>
      <c r="R19" s="17" t="s">
        <v>8</v>
      </c>
      <c r="S19" s="176" t="s">
        <v>12</v>
      </c>
      <c r="T19" s="176"/>
      <c r="V19" s="190" t="s">
        <v>32</v>
      </c>
      <c r="W19" s="191"/>
      <c r="X19" s="191"/>
      <c r="Y19" s="192"/>
      <c r="Z19" s="70"/>
    </row>
    <row r="20" spans="2:29" ht="15" customHeight="1" thickBot="1" x14ac:dyDescent="0.3">
      <c r="B20" s="17" t="s">
        <v>45</v>
      </c>
      <c r="C20" s="179"/>
      <c r="D20" s="181"/>
      <c r="E20" s="183"/>
      <c r="F20" s="40" t="s">
        <v>36</v>
      </c>
      <c r="G20" s="34" t="s">
        <v>2</v>
      </c>
      <c r="H20" s="34" t="s">
        <v>3</v>
      </c>
      <c r="I20" s="34" t="s">
        <v>16</v>
      </c>
      <c r="J20" s="110" t="s">
        <v>4</v>
      </c>
      <c r="K20" s="35" t="s">
        <v>5</v>
      </c>
      <c r="L20" s="110" t="s">
        <v>2</v>
      </c>
      <c r="N20" s="70"/>
      <c r="R20" s="36"/>
      <c r="S20" s="36"/>
      <c r="T20" s="36"/>
      <c r="V20" s="34" t="s">
        <v>3</v>
      </c>
      <c r="W20" s="34" t="s">
        <v>23</v>
      </c>
      <c r="X20" s="109" t="s">
        <v>4</v>
      </c>
      <c r="Y20" s="34" t="s">
        <v>5</v>
      </c>
    </row>
    <row r="21" spans="2:29" s="42" customFormat="1" ht="12.75" x14ac:dyDescent="0.2">
      <c r="C21" s="64"/>
      <c r="D21" s="65"/>
      <c r="E21" s="66"/>
      <c r="F21" s="38">
        <f>+H14</f>
        <v>44680</v>
      </c>
      <c r="G21" s="55">
        <v>44680</v>
      </c>
      <c r="H21" s="56">
        <v>0</v>
      </c>
      <c r="I21" s="56">
        <v>0</v>
      </c>
      <c r="J21" s="57">
        <v>0</v>
      </c>
      <c r="K21" s="88">
        <f>+H8</f>
        <v>881803533</v>
      </c>
      <c r="L21" s="105">
        <f>+H14</f>
        <v>44680</v>
      </c>
      <c r="Q21" s="58"/>
      <c r="R21" s="59">
        <f>-Y21*K14/100</f>
        <v>-854847239.89795649</v>
      </c>
      <c r="S21" s="59"/>
      <c r="T21" s="59"/>
      <c r="U21" s="58"/>
      <c r="V21" s="87"/>
      <c r="W21" s="56"/>
      <c r="X21" s="57">
        <f>-H8*K14/100</f>
        <v>-854847239.89795649</v>
      </c>
      <c r="Y21" s="88">
        <f>+H8</f>
        <v>881803533</v>
      </c>
      <c r="Z21" s="72"/>
    </row>
    <row r="22" spans="2:29" s="42" customFormat="1" ht="12.75" x14ac:dyDescent="0.2">
      <c r="B22" s="68">
        <v>104913106.31</v>
      </c>
      <c r="C22" s="120">
        <f>+K10</f>
        <v>0.44624999999999998</v>
      </c>
      <c r="D22" s="67">
        <f t="shared" ref="D22:D24" si="0">+C22+H$12/10000</f>
        <v>0.45624999999999999</v>
      </c>
      <c r="E22" s="77">
        <f>+IF(D22&lt;=H$10,H$10,IF(D22&gt;=H$11,H$11,D22))</f>
        <v>0.45624999999999999</v>
      </c>
      <c r="F22" s="68">
        <f t="shared" ref="F22:F24" si="1">+G22-G21</f>
        <v>77</v>
      </c>
      <c r="G22" s="111">
        <v>44757</v>
      </c>
      <c r="H22" s="56">
        <v>43186859</v>
      </c>
      <c r="I22" s="56">
        <f>+$H$10*(60/360)*K21</f>
        <v>61726247.309999995</v>
      </c>
      <c r="J22" s="57">
        <f>+I22+H22</f>
        <v>104913106.31</v>
      </c>
      <c r="K22" s="89">
        <f>+K21-H22</f>
        <v>838616674</v>
      </c>
      <c r="L22" s="106">
        <f t="shared" ref="L22" si="2">+G22</f>
        <v>44757</v>
      </c>
      <c r="M22" s="73"/>
      <c r="N22" s="74"/>
      <c r="Q22" s="60">
        <f>+L22-L$21</f>
        <v>77</v>
      </c>
      <c r="R22" s="59">
        <f>+X22</f>
        <v>104913106.31</v>
      </c>
      <c r="S22" s="59">
        <f>+X22/(1+R$30)^(Q22/365)</f>
        <v>95046617.538820431</v>
      </c>
      <c r="T22" s="59">
        <f>+S22/S$27*Q22</f>
        <v>8.5612834840566094</v>
      </c>
      <c r="U22" s="99"/>
      <c r="V22" s="87">
        <f t="shared" ref="V22:V24" si="3">+IF(Y21&gt;0,MIN(Y21,B22-W22),0)</f>
        <v>37859295.988125004</v>
      </c>
      <c r="W22" s="125">
        <f>+IF((Y21*E22/360*60)&gt;B22,B22,(Y21*E22/360*60))</f>
        <v>67053810.321874999</v>
      </c>
      <c r="X22" s="57">
        <f>+V22+W22</f>
        <v>104913106.31</v>
      </c>
      <c r="Y22" s="89">
        <f t="shared" ref="Y22:Y24" si="4">+Y21-V22</f>
        <v>843944237.01187503</v>
      </c>
      <c r="Z22" s="72"/>
      <c r="AA22" s="75"/>
      <c r="AB22" s="76">
        <f>+Y21*E22/360*60</f>
        <v>67053810.321874999</v>
      </c>
      <c r="AC22" s="100">
        <f>+AB22-W22</f>
        <v>0</v>
      </c>
    </row>
    <row r="23" spans="2:29" s="42" customFormat="1" ht="12.75" x14ac:dyDescent="0.2">
      <c r="B23" s="68">
        <v>202496060.59</v>
      </c>
      <c r="C23" s="120">
        <f>+K10</f>
        <v>0.44624999999999998</v>
      </c>
      <c r="D23" s="67">
        <f t="shared" si="0"/>
        <v>0.45624999999999999</v>
      </c>
      <c r="E23" s="77">
        <f>+IF(D23&lt;=H$10,H$10,IF(D23&gt;=H$11,H$11,D23))</f>
        <v>0.45624999999999999</v>
      </c>
      <c r="F23" s="68">
        <f t="shared" si="1"/>
        <v>32</v>
      </c>
      <c r="G23" s="111">
        <v>44789</v>
      </c>
      <c r="H23" s="56">
        <v>173144477</v>
      </c>
      <c r="I23" s="56">
        <f t="shared" ref="I23:I24" si="5">+$H$10*(30/360)*K22</f>
        <v>29351583.589999996</v>
      </c>
      <c r="J23" s="57">
        <f>+I23+H23</f>
        <v>202496060.59</v>
      </c>
      <c r="K23" s="89">
        <f t="shared" ref="K23:K24" si="6">+K22-H23</f>
        <v>665472197</v>
      </c>
      <c r="L23" s="106">
        <f t="shared" ref="L23" si="7">+G23</f>
        <v>44789</v>
      </c>
      <c r="M23" s="73"/>
      <c r="N23" s="74"/>
      <c r="Q23" s="60">
        <f t="shared" ref="Q23" si="8">+L23-L$21</f>
        <v>109</v>
      </c>
      <c r="R23" s="59">
        <f t="shared" ref="R23:R26" si="9">+X23</f>
        <v>202496060.59</v>
      </c>
      <c r="S23" s="59">
        <f>+X23/(1+R$30)^(Q23/365)</f>
        <v>176075043.06609607</v>
      </c>
      <c r="T23" s="59">
        <f>+S23/S$27*Q23</f>
        <v>22.451005061222066</v>
      </c>
      <c r="U23" s="99"/>
      <c r="V23" s="87">
        <f t="shared" si="3"/>
        <v>170408597.41194433</v>
      </c>
      <c r="W23" s="125">
        <f>+IF((Y22*E23/360*30+AC22)&gt;B23,B23,(Y22*E23/360*30+AC22))</f>
        <v>32087463.178055663</v>
      </c>
      <c r="X23" s="57">
        <f t="shared" ref="X23:X24" si="10">+V23+W23</f>
        <v>202496060.59</v>
      </c>
      <c r="Y23" s="89">
        <f t="shared" si="4"/>
        <v>673535639.59993076</v>
      </c>
      <c r="Z23" s="72"/>
      <c r="AA23" s="75"/>
      <c r="AB23" s="76">
        <f>+Y22*E23/360*30</f>
        <v>32087463.178055663</v>
      </c>
      <c r="AC23" s="76">
        <f t="shared" ref="AC23:AC26" si="11">+AC22+AB23-W23</f>
        <v>0</v>
      </c>
    </row>
    <row r="24" spans="2:29" s="42" customFormat="1" ht="12.75" x14ac:dyDescent="0.2">
      <c r="B24" s="68">
        <v>296615220.89499998</v>
      </c>
      <c r="C24" s="120">
        <f t="shared" ref="C24:C26" si="12">+C23</f>
        <v>0.44624999999999998</v>
      </c>
      <c r="D24" s="67">
        <f t="shared" si="0"/>
        <v>0.45624999999999999</v>
      </c>
      <c r="E24" s="77">
        <f t="shared" ref="E24" si="13">+IF(D24&lt;=H$10,H$10,IF(D24&gt;=H$11,H$11,D24))</f>
        <v>0.45624999999999999</v>
      </c>
      <c r="F24" s="68">
        <f t="shared" si="1"/>
        <v>30</v>
      </c>
      <c r="G24" s="111">
        <v>44819</v>
      </c>
      <c r="H24" s="56">
        <v>273323694</v>
      </c>
      <c r="I24" s="56">
        <f t="shared" si="5"/>
        <v>23291526.894999996</v>
      </c>
      <c r="J24" s="57">
        <f t="shared" ref="J24" si="14">+I24+H24</f>
        <v>296615220.89499998</v>
      </c>
      <c r="K24" s="89">
        <f t="shared" si="6"/>
        <v>392148503</v>
      </c>
      <c r="L24" s="106">
        <f t="shared" ref="L24" si="15">+G24</f>
        <v>44819</v>
      </c>
      <c r="M24" s="73"/>
      <c r="N24" s="74"/>
      <c r="Q24" s="60">
        <f t="shared" ref="Q24" si="16">+L24-L$21</f>
        <v>139</v>
      </c>
      <c r="R24" s="59">
        <f t="shared" si="9"/>
        <v>296615220.89499998</v>
      </c>
      <c r="S24" s="59">
        <f>+X24/(1+R$30)^(Q24/365)</f>
        <v>248177878.72935942</v>
      </c>
      <c r="T24" s="59">
        <f>+S24/S$27*Q24</f>
        <v>40.35425694891272</v>
      </c>
      <c r="U24" s="99"/>
      <c r="V24" s="87">
        <f t="shared" si="3"/>
        <v>271006834.59771097</v>
      </c>
      <c r="W24" s="125">
        <f>+IF((Y23*E24/360*30+AC23)&gt;B24,B24,(Y23*E24/360*30+AC23))</f>
        <v>25608386.297289036</v>
      </c>
      <c r="X24" s="57">
        <f t="shared" si="10"/>
        <v>296615220.89499998</v>
      </c>
      <c r="Y24" s="89">
        <f t="shared" si="4"/>
        <v>402528805.0022198</v>
      </c>
      <c r="Z24" s="72"/>
      <c r="AA24" s="75"/>
      <c r="AB24" s="76">
        <f t="shared" ref="AB24" si="17">+Y23*E24/360*30</f>
        <v>25608386.297289036</v>
      </c>
      <c r="AC24" s="76">
        <f t="shared" si="11"/>
        <v>0</v>
      </c>
    </row>
    <row r="25" spans="2:29" s="42" customFormat="1" ht="12.75" x14ac:dyDescent="0.2">
      <c r="B25" s="68">
        <v>358706367.60500002</v>
      </c>
      <c r="C25" s="120">
        <f t="shared" si="12"/>
        <v>0.44624999999999998</v>
      </c>
      <c r="D25" s="67">
        <f t="shared" ref="D25:D26" si="18">+C25+H$12/10000</f>
        <v>0.45624999999999999</v>
      </c>
      <c r="E25" s="77">
        <f t="shared" ref="E25:E26" si="19">+IF(D25&lt;=H$10,H$10,IF(D25&gt;=H$11,H$11,D25))</f>
        <v>0.45624999999999999</v>
      </c>
      <c r="F25" s="68">
        <f t="shared" ref="F25:F26" si="20">+G25-G24</f>
        <v>32</v>
      </c>
      <c r="G25" s="111">
        <v>44851</v>
      </c>
      <c r="H25" s="56">
        <v>344981170</v>
      </c>
      <c r="I25" s="56">
        <f t="shared" ref="I25:I26" si="21">+$H$10*(30/360)*K24</f>
        <v>13725197.604999999</v>
      </c>
      <c r="J25" s="57">
        <f t="shared" ref="J25:J26" si="22">+I25+H25</f>
        <v>358706367.60500002</v>
      </c>
      <c r="K25" s="89">
        <f t="shared" ref="K25:K26" si="23">+K24-H25</f>
        <v>47167333</v>
      </c>
      <c r="L25" s="106">
        <f t="shared" ref="L25:L26" si="24">+G25</f>
        <v>44851</v>
      </c>
      <c r="M25" s="73"/>
      <c r="N25" s="74"/>
      <c r="Q25" s="60">
        <f t="shared" ref="Q25:Q26" si="25">+L25-L$21</f>
        <v>171</v>
      </c>
      <c r="R25" s="59">
        <f t="shared" si="9"/>
        <v>358706367.60500002</v>
      </c>
      <c r="S25" s="59">
        <f>+X25/(1+R$30)^(Q25/365)</f>
        <v>288060045.9037146</v>
      </c>
      <c r="T25" s="59">
        <f>+S25/S$27*Q25</f>
        <v>57.622304418653322</v>
      </c>
      <c r="U25" s="99"/>
      <c r="V25" s="87">
        <f t="shared" ref="V25:V26" si="26">+IF(Y24&gt;0,MIN(Y24,B25-W25),0)</f>
        <v>343401886.99814481</v>
      </c>
      <c r="W25" s="125">
        <f t="shared" ref="W25:W26" si="27">+IF((Y24*E25/360*30+AC24)&gt;B25,B25,(Y24*E25/360*30+AC24))</f>
        <v>15304480.60685523</v>
      </c>
      <c r="X25" s="57">
        <f t="shared" ref="X25:X26" si="28">+V25+W25</f>
        <v>358706367.60500002</v>
      </c>
      <c r="Y25" s="89">
        <f t="shared" ref="Y25:Y26" si="29">+Y24-V25</f>
        <v>59126918.004074991</v>
      </c>
      <c r="Z25" s="72"/>
      <c r="AA25" s="75"/>
      <c r="AB25" s="76">
        <f t="shared" ref="AB25:AB26" si="30">+Y24*E25/360*30</f>
        <v>15304480.60685523</v>
      </c>
      <c r="AC25" s="76">
        <f t="shared" si="11"/>
        <v>0</v>
      </c>
    </row>
    <row r="26" spans="2:29" s="42" customFormat="1" ht="13.5" thickBot="1" x14ac:dyDescent="0.25">
      <c r="B26" s="68">
        <v>116188157</v>
      </c>
      <c r="C26" s="120">
        <f t="shared" si="12"/>
        <v>0.44624999999999998</v>
      </c>
      <c r="D26" s="67">
        <f t="shared" si="18"/>
        <v>0.45624999999999999</v>
      </c>
      <c r="E26" s="77">
        <f t="shared" si="19"/>
        <v>0.45624999999999999</v>
      </c>
      <c r="F26" s="68">
        <f t="shared" si="20"/>
        <v>29</v>
      </c>
      <c r="G26" s="111">
        <v>44880</v>
      </c>
      <c r="H26" s="56">
        <v>47167333</v>
      </c>
      <c r="I26" s="56">
        <f t="shared" si="21"/>
        <v>1650856.6549999998</v>
      </c>
      <c r="J26" s="57">
        <f t="shared" si="22"/>
        <v>48818189.655000001</v>
      </c>
      <c r="K26" s="89">
        <f t="shared" si="23"/>
        <v>0</v>
      </c>
      <c r="L26" s="106">
        <f t="shared" si="24"/>
        <v>44880</v>
      </c>
      <c r="M26" s="73"/>
      <c r="N26" s="74"/>
      <c r="Q26" s="60">
        <f t="shared" si="25"/>
        <v>200</v>
      </c>
      <c r="R26" s="59">
        <f t="shared" si="9"/>
        <v>61374972.699021593</v>
      </c>
      <c r="S26" s="59">
        <f>+X26/(1+R$30)^(Q26/365)</f>
        <v>47487653.977757417</v>
      </c>
      <c r="T26" s="59">
        <f>+S26/S$27*Q26</f>
        <v>11.110208186745371</v>
      </c>
      <c r="U26" s="99"/>
      <c r="V26" s="87">
        <f t="shared" si="26"/>
        <v>59126918.004074991</v>
      </c>
      <c r="W26" s="125">
        <f t="shared" si="27"/>
        <v>2248054.6949466011</v>
      </c>
      <c r="X26" s="57">
        <f t="shared" si="28"/>
        <v>61374972.699021593</v>
      </c>
      <c r="Y26" s="89">
        <f t="shared" si="29"/>
        <v>0</v>
      </c>
      <c r="Z26" s="72"/>
      <c r="AA26" s="75"/>
      <c r="AB26" s="76">
        <f t="shared" si="30"/>
        <v>2248054.6949466011</v>
      </c>
      <c r="AC26" s="76">
        <f t="shared" si="11"/>
        <v>0</v>
      </c>
    </row>
    <row r="27" spans="2:29" s="42" customFormat="1" ht="13.5" thickBot="1" x14ac:dyDescent="0.25">
      <c r="B27" s="68"/>
      <c r="C27" s="69"/>
      <c r="D27" s="69"/>
      <c r="E27" s="69"/>
      <c r="G27" s="142" t="s">
        <v>4</v>
      </c>
      <c r="H27" s="143">
        <f>+SUM(H21:H26)</f>
        <v>881803533</v>
      </c>
      <c r="I27" s="143">
        <f>+SUM(I21:I26)</f>
        <v>129745412.05499999</v>
      </c>
      <c r="J27" s="143">
        <f>+SUM(J21:J26)</f>
        <v>1011548945.0549999</v>
      </c>
      <c r="K27" s="116"/>
      <c r="L27" s="93" t="s">
        <v>4</v>
      </c>
      <c r="R27" s="63">
        <f>+SUM(R22:R26)</f>
        <v>1024105728.0990216</v>
      </c>
      <c r="S27" s="63">
        <f>+SUM(S22:S26)</f>
        <v>854847239.21574807</v>
      </c>
      <c r="T27" s="63">
        <f>+SUM(T22:T26)</f>
        <v>140.09905809959011</v>
      </c>
      <c r="V27" s="86">
        <f>+SUM(V21:V26)</f>
        <v>881803533.00000024</v>
      </c>
      <c r="W27" s="86">
        <f>+SUM(W21:W26)</f>
        <v>142302195.09902152</v>
      </c>
      <c r="X27" s="86">
        <f>+SUM(X21:X26)</f>
        <v>169258488.20106518</v>
      </c>
      <c r="Y27" s="115"/>
    </row>
    <row r="28" spans="2:29" s="42" customFormat="1" ht="12.75" x14ac:dyDescent="0.2">
      <c r="G28" s="78"/>
      <c r="R28" s="42" t="s">
        <v>42</v>
      </c>
      <c r="S28" s="91">
        <f>+K14/100*H8-S27</f>
        <v>0.68220841884613037</v>
      </c>
    </row>
    <row r="29" spans="2:29" s="42" customFormat="1" ht="14.45" customHeight="1" x14ac:dyDescent="0.2">
      <c r="B29" s="72"/>
      <c r="C29" s="157"/>
      <c r="G29" s="187" t="s">
        <v>37</v>
      </c>
      <c r="H29" s="188"/>
      <c r="I29" s="188"/>
      <c r="J29" s="188"/>
      <c r="K29" s="189"/>
      <c r="L29" s="79"/>
      <c r="M29" s="79"/>
      <c r="W29" s="136"/>
    </row>
    <row r="30" spans="2:29" s="42" customFormat="1" ht="12.75" x14ac:dyDescent="0.2">
      <c r="B30" s="72"/>
      <c r="C30" s="157"/>
      <c r="G30" s="80"/>
      <c r="H30" s="80"/>
      <c r="I30" s="80"/>
      <c r="J30" s="80"/>
      <c r="K30" s="80"/>
      <c r="M30" s="54"/>
      <c r="P30" s="42" t="s">
        <v>9</v>
      </c>
      <c r="R30" s="81">
        <f>+XIRR(R21:R26,L21:L26)</f>
        <v>0.59707142710685734</v>
      </c>
      <c r="S30" s="81"/>
      <c r="T30" s="81"/>
      <c r="V30" s="68"/>
      <c r="X30" s="136"/>
    </row>
    <row r="31" spans="2:29" s="42" customFormat="1" ht="14.45" customHeight="1" x14ac:dyDescent="0.2">
      <c r="B31" s="72"/>
      <c r="C31" s="157"/>
      <c r="G31" s="167" t="s">
        <v>27</v>
      </c>
      <c r="H31" s="168"/>
      <c r="I31" s="168"/>
      <c r="J31" s="168"/>
      <c r="K31" s="169"/>
      <c r="L31" s="82"/>
      <c r="M31" s="81"/>
      <c r="P31" s="42" t="s">
        <v>10</v>
      </c>
      <c r="R31" s="54">
        <f>((+R30+1)^(1/12)-1)*12</f>
        <v>0.47742422349069802</v>
      </c>
      <c r="S31" s="54"/>
      <c r="T31" s="54"/>
      <c r="V31" s="68"/>
      <c r="Y31" s="68"/>
    </row>
    <row r="32" spans="2:29" s="42" customFormat="1" ht="12.75" x14ac:dyDescent="0.2">
      <c r="C32" s="156"/>
      <c r="G32" s="170"/>
      <c r="H32" s="171"/>
      <c r="I32" s="171"/>
      <c r="J32" s="171"/>
      <c r="K32" s="172"/>
      <c r="L32" s="82"/>
      <c r="M32" s="81"/>
      <c r="V32" s="68"/>
    </row>
    <row r="33" spans="7:23" s="42" customFormat="1" ht="12.75" x14ac:dyDescent="0.2">
      <c r="G33" s="170"/>
      <c r="H33" s="171"/>
      <c r="I33" s="171"/>
      <c r="J33" s="171"/>
      <c r="K33" s="172"/>
      <c r="L33" s="82"/>
      <c r="M33" s="81"/>
      <c r="S33" s="54"/>
      <c r="V33" s="68"/>
    </row>
    <row r="34" spans="7:23" s="42" customFormat="1" ht="12.75" x14ac:dyDescent="0.2">
      <c r="G34" s="170"/>
      <c r="H34" s="171"/>
      <c r="I34" s="171"/>
      <c r="J34" s="171"/>
      <c r="K34" s="172"/>
      <c r="L34" s="82"/>
      <c r="M34" s="81"/>
      <c r="R34" s="92"/>
      <c r="V34" s="68"/>
    </row>
    <row r="35" spans="7:23" s="42" customFormat="1" ht="12.75" x14ac:dyDescent="0.2">
      <c r="G35" s="170"/>
      <c r="H35" s="171"/>
      <c r="I35" s="171"/>
      <c r="J35" s="171"/>
      <c r="K35" s="172"/>
      <c r="L35" s="82"/>
      <c r="M35" s="81"/>
      <c r="R35" s="92"/>
      <c r="V35" s="136"/>
    </row>
    <row r="36" spans="7:23" s="42" customFormat="1" ht="12.75" x14ac:dyDescent="0.2">
      <c r="G36" s="173"/>
      <c r="H36" s="174"/>
      <c r="I36" s="174"/>
      <c r="J36" s="174"/>
      <c r="K36" s="175"/>
      <c r="L36" s="82"/>
      <c r="M36" s="81"/>
      <c r="R36" s="92"/>
      <c r="V36" s="136"/>
    </row>
    <row r="37" spans="7:23" s="42" customFormat="1" ht="12.75" x14ac:dyDescent="0.2">
      <c r="L37" s="82"/>
      <c r="M37" s="81"/>
      <c r="R37" s="92"/>
    </row>
    <row r="38" spans="7:23" x14ac:dyDescent="0.25">
      <c r="L38" s="37"/>
      <c r="M38" s="71"/>
      <c r="R38" s="92"/>
      <c r="W38" s="42"/>
    </row>
    <row r="39" spans="7:23" x14ac:dyDescent="0.25">
      <c r="R39" s="92"/>
    </row>
    <row r="40" spans="7:23" x14ac:dyDescent="0.25">
      <c r="H40" s="70"/>
      <c r="I40" s="70"/>
      <c r="R40" s="92"/>
    </row>
    <row r="41" spans="7:23" x14ac:dyDescent="0.25">
      <c r="H41" s="70"/>
      <c r="I41" s="70"/>
      <c r="R41" s="92"/>
    </row>
    <row r="42" spans="7:23" x14ac:dyDescent="0.25">
      <c r="H42" s="70"/>
      <c r="I42" s="70"/>
      <c r="R42" s="92"/>
    </row>
    <row r="43" spans="7:23" x14ac:dyDescent="0.25">
      <c r="H43" s="70"/>
      <c r="I43" s="70"/>
      <c r="R43" s="42"/>
      <c r="S43" s="54"/>
    </row>
    <row r="44" spans="7:23" x14ac:dyDescent="0.25">
      <c r="R44" s="92"/>
      <c r="S44" s="42"/>
    </row>
    <row r="45" spans="7:23" x14ac:dyDescent="0.25">
      <c r="R45" s="92"/>
      <c r="S45" s="42"/>
    </row>
    <row r="46" spans="7:23" x14ac:dyDescent="0.25">
      <c r="R46" s="92"/>
      <c r="S46" s="42"/>
    </row>
    <row r="47" spans="7:23" x14ac:dyDescent="0.25">
      <c r="R47" s="92"/>
      <c r="S47" s="42"/>
    </row>
    <row r="48" spans="7:23" x14ac:dyDescent="0.25">
      <c r="R48" s="92"/>
    </row>
    <row r="49" spans="18:18" x14ac:dyDescent="0.25">
      <c r="R49" s="92"/>
    </row>
    <row r="50" spans="18:18" x14ac:dyDescent="0.25">
      <c r="R50" s="92"/>
    </row>
    <row r="51" spans="18:18" x14ac:dyDescent="0.25">
      <c r="R51" s="92"/>
    </row>
    <row r="52" spans="18:18" x14ac:dyDescent="0.25">
      <c r="R52" s="92"/>
    </row>
  </sheetData>
  <sheetProtection selectLockedCells="1" selectUnlockedCells="1"/>
  <mergeCells count="9">
    <mergeCell ref="G31:K36"/>
    <mergeCell ref="S19:T19"/>
    <mergeCell ref="G5:Y5"/>
    <mergeCell ref="C19:C20"/>
    <mergeCell ref="D19:D20"/>
    <mergeCell ref="E19:E20"/>
    <mergeCell ref="G19:K19"/>
    <mergeCell ref="G29:K29"/>
    <mergeCell ref="V19:Y19"/>
  </mergeCells>
  <pageMargins left="0.70866141732283472" right="0.70866141732283472" top="0.74803149606299213" bottom="0.74803149606299213" header="0.31496062992125984" footer="0.31496062992125984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46"/>
  <sheetViews>
    <sheetView showGridLines="0" zoomScale="85" zoomScaleNormal="85" workbookViewId="0">
      <selection activeCell="X11" sqref="X11"/>
    </sheetView>
  </sheetViews>
  <sheetFormatPr baseColWidth="10" defaultColWidth="9.140625" defaultRowHeight="15" outlineLevelCol="1" x14ac:dyDescent="0.25"/>
  <cols>
    <col min="1" max="1" width="9.140625" style="1"/>
    <col min="2" max="3" width="14.5703125" style="1" hidden="1" customWidth="1" outlineLevel="1"/>
    <col min="4" max="4" width="15" style="1" hidden="1" customWidth="1" outlineLevel="1"/>
    <col min="5" max="5" width="16.140625" style="1" hidden="1" customWidth="1" outlineLevel="1"/>
    <col min="6" max="6" width="11.28515625" style="1" hidden="1" customWidth="1" outlineLevel="1"/>
    <col min="7" max="7" width="27.7109375" style="1" customWidth="1" collapsed="1"/>
    <col min="8" max="8" width="18.140625" style="1" bestFit="1" customWidth="1"/>
    <col min="9" max="9" width="16.85546875" style="1" customWidth="1"/>
    <col min="10" max="10" width="17.5703125" style="1" bestFit="1" customWidth="1"/>
    <col min="11" max="11" width="19.28515625" style="1" customWidth="1"/>
    <col min="12" max="12" width="12.42578125" style="1" hidden="1" customWidth="1" outlineLevel="1"/>
    <col min="13" max="13" width="17.5703125" style="1" hidden="1" customWidth="1" outlineLevel="1"/>
    <col min="14" max="14" width="12.42578125" style="1" hidden="1" customWidth="1" outlineLevel="1"/>
    <col min="15" max="16" width="13.140625" style="1" hidden="1" customWidth="1" outlineLevel="1"/>
    <col min="17" max="17" width="9.140625" style="1" hidden="1" customWidth="1" outlineLevel="1"/>
    <col min="18" max="20" width="17.85546875" style="1" hidden="1" customWidth="1" outlineLevel="1"/>
    <col min="21" max="21" width="9.140625" style="1" collapsed="1"/>
    <col min="22" max="22" width="14.42578125" style="1" customWidth="1"/>
    <col min="23" max="23" width="13.5703125" style="1" customWidth="1"/>
    <col min="24" max="24" width="13.7109375" style="1" customWidth="1"/>
    <col min="25" max="25" width="14.42578125" style="1" bestFit="1" customWidth="1"/>
    <col min="26" max="27" width="9.140625" style="1"/>
    <col min="28" max="28" width="12.42578125" style="1" hidden="1" customWidth="1" outlineLevel="1"/>
    <col min="29" max="29" width="15.28515625" style="1" hidden="1" customWidth="1" outlineLevel="1"/>
    <col min="30" max="30" width="9.140625" style="1" collapsed="1"/>
    <col min="31" max="16384" width="9.140625" style="1"/>
  </cols>
  <sheetData>
    <row r="1" spans="2:25" s="17" customFormat="1" x14ac:dyDescent="0.25"/>
    <row r="2" spans="2:25" s="17" customFormat="1" x14ac:dyDescent="0.25"/>
    <row r="3" spans="2:25" s="17" customFormat="1" x14ac:dyDescent="0.25">
      <c r="V3" s="70"/>
    </row>
    <row r="4" spans="2:25" s="17" customFormat="1" x14ac:dyDescent="0.25">
      <c r="B4" s="16"/>
      <c r="C4" s="16"/>
      <c r="D4" s="16"/>
      <c r="E4" s="16"/>
      <c r="G4" s="16"/>
      <c r="H4" s="16"/>
      <c r="I4" s="16"/>
      <c r="J4" s="16"/>
      <c r="K4" s="16"/>
      <c r="V4" s="103"/>
    </row>
    <row r="5" spans="2:25" s="17" customFormat="1" x14ac:dyDescent="0.25">
      <c r="B5" s="16"/>
      <c r="C5" s="16"/>
      <c r="D5" s="16"/>
      <c r="E5" s="16"/>
      <c r="G5" s="177" t="s">
        <v>52</v>
      </c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</row>
    <row r="6" spans="2:25" s="17" customFormat="1" x14ac:dyDescent="0.25">
      <c r="B6" s="18"/>
      <c r="C6" s="18"/>
      <c r="D6" s="18"/>
      <c r="E6" s="18"/>
      <c r="G6" s="19"/>
      <c r="H6" s="19"/>
      <c r="I6" s="19"/>
      <c r="J6" s="19"/>
      <c r="K6" s="20"/>
    </row>
    <row r="7" spans="2:25" s="17" customFormat="1" x14ac:dyDescent="0.25">
      <c r="B7" s="18"/>
      <c r="C7" s="18"/>
      <c r="D7" s="18"/>
      <c r="E7" s="18"/>
      <c r="G7" s="19"/>
      <c r="H7" s="19"/>
      <c r="I7" s="19"/>
      <c r="J7" s="19"/>
      <c r="K7" s="19"/>
    </row>
    <row r="8" spans="2:25" s="17" customFormat="1" ht="15.6" customHeight="1" x14ac:dyDescent="0.25">
      <c r="B8" s="18"/>
      <c r="C8" s="18"/>
      <c r="D8" s="18"/>
      <c r="E8" s="18"/>
      <c r="G8" s="21" t="s">
        <v>0</v>
      </c>
      <c r="H8" s="22">
        <v>110629790</v>
      </c>
      <c r="I8" s="41"/>
      <c r="J8" s="23"/>
      <c r="K8" s="24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2:25" s="17" customFormat="1" x14ac:dyDescent="0.25">
      <c r="B9" s="18"/>
      <c r="C9" s="18"/>
      <c r="D9" s="18"/>
      <c r="E9" s="18"/>
      <c r="G9" s="25"/>
      <c r="H9" s="26"/>
      <c r="I9" s="41"/>
      <c r="J9" s="43"/>
      <c r="K9" s="27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2:25" s="17" customFormat="1" x14ac:dyDescent="0.25">
      <c r="B10" s="28"/>
      <c r="C10" s="28"/>
      <c r="D10" s="28"/>
      <c r="E10" s="28"/>
      <c r="G10" s="21" t="s">
        <v>6</v>
      </c>
      <c r="H10" s="29">
        <v>0.43</v>
      </c>
      <c r="I10" s="41"/>
      <c r="J10" s="21" t="s">
        <v>28</v>
      </c>
      <c r="K10" s="44">
        <f>+'VDF A'!K10</f>
        <v>0.44624999999999998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2:25" s="17" customFormat="1" x14ac:dyDescent="0.25">
      <c r="B11" s="18"/>
      <c r="C11" s="18"/>
      <c r="D11" s="18"/>
      <c r="E11" s="18"/>
      <c r="G11" s="21" t="s">
        <v>7</v>
      </c>
      <c r="H11" s="29">
        <v>0.53</v>
      </c>
      <c r="I11" s="41"/>
      <c r="J11" s="45"/>
      <c r="K11" s="45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2:25" s="17" customFormat="1" x14ac:dyDescent="0.25">
      <c r="B12" s="16"/>
      <c r="C12" s="16"/>
      <c r="D12" s="16"/>
      <c r="E12" s="16"/>
      <c r="G12" s="21" t="s">
        <v>14</v>
      </c>
      <c r="H12" s="30">
        <v>200</v>
      </c>
      <c r="I12" s="41"/>
      <c r="J12" s="21" t="s">
        <v>11</v>
      </c>
      <c r="K12" s="46">
        <v>0.56000000000000005</v>
      </c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2:25" s="17" customFormat="1" x14ac:dyDescent="0.25">
      <c r="B13" s="16"/>
      <c r="C13" s="16"/>
      <c r="D13" s="16"/>
      <c r="E13" s="16"/>
      <c r="G13" s="25"/>
      <c r="H13" s="31"/>
      <c r="I13" s="41"/>
      <c r="J13" s="47"/>
      <c r="K13" s="47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2:25" s="17" customFormat="1" x14ac:dyDescent="0.25">
      <c r="B14" s="16"/>
      <c r="C14" s="16"/>
      <c r="D14" s="16"/>
      <c r="E14" s="16"/>
      <c r="G14" s="21" t="s">
        <v>15</v>
      </c>
      <c r="H14" s="32">
        <f>+'VDF A'!H14</f>
        <v>44680</v>
      </c>
      <c r="I14" s="48"/>
      <c r="J14" s="49" t="s">
        <v>1</v>
      </c>
      <c r="K14" s="50">
        <f>ROUND((XNPV(K12,J21:J23,G21:G23)/H8)*100,5)</f>
        <v>95.162030000000001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2:25" s="17" customFormat="1" x14ac:dyDescent="0.25">
      <c r="B15" s="16"/>
      <c r="C15" s="16"/>
      <c r="D15" s="16"/>
      <c r="E15" s="16"/>
      <c r="G15" s="42"/>
      <c r="H15" s="33"/>
      <c r="I15" s="51"/>
      <c r="J15" s="49" t="s">
        <v>29</v>
      </c>
      <c r="K15" s="52">
        <f>+R28</f>
        <v>0.60343278050422677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2:25" s="17" customFormat="1" x14ac:dyDescent="0.25">
      <c r="G16" s="21" t="s">
        <v>40</v>
      </c>
      <c r="H16" s="148">
        <f>+T25/365*12</f>
        <v>7.1746994427056858</v>
      </c>
      <c r="I16" s="53"/>
      <c r="J16" s="49" t="s">
        <v>30</v>
      </c>
      <c r="K16" s="52">
        <f>+R29</f>
        <v>0.48155828866528072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2:30" s="17" customFormat="1" x14ac:dyDescent="0.25">
      <c r="G17" s="21" t="s">
        <v>49</v>
      </c>
      <c r="H17" s="148">
        <f>+(G23-H14)/365*12</f>
        <v>7.5616438356164384</v>
      </c>
      <c r="I17" s="53"/>
      <c r="J17" s="49" t="s">
        <v>35</v>
      </c>
      <c r="K17" s="52">
        <f>+K16-K10</f>
        <v>3.530828866528074E-2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AB17" s="103"/>
      <c r="AC17" s="103"/>
    </row>
    <row r="18" spans="2:30" s="17" customFormat="1" ht="15.75" thickBot="1" x14ac:dyDescent="0.3"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AB18" s="103"/>
      <c r="AC18" s="103"/>
    </row>
    <row r="19" spans="2:30" s="17" customFormat="1" ht="15.75" thickBot="1" x14ac:dyDescent="0.3">
      <c r="C19" s="193" t="s">
        <v>24</v>
      </c>
      <c r="D19" s="195" t="s">
        <v>25</v>
      </c>
      <c r="E19" s="196" t="s">
        <v>26</v>
      </c>
      <c r="F19" s="94"/>
      <c r="G19" s="184" t="s">
        <v>33</v>
      </c>
      <c r="H19" s="185"/>
      <c r="I19" s="185"/>
      <c r="J19" s="185"/>
      <c r="K19" s="186"/>
      <c r="Q19" s="17" t="s">
        <v>13</v>
      </c>
      <c r="R19" s="17" t="s">
        <v>8</v>
      </c>
      <c r="S19" s="176" t="s">
        <v>12</v>
      </c>
      <c r="T19" s="176"/>
      <c r="V19" s="190" t="s">
        <v>34</v>
      </c>
      <c r="W19" s="191"/>
      <c r="X19" s="191"/>
      <c r="Y19" s="192"/>
      <c r="Z19" s="70"/>
      <c r="AB19" s="103"/>
      <c r="AC19" s="103"/>
    </row>
    <row r="20" spans="2:30" s="17" customFormat="1" ht="15" customHeight="1" thickBot="1" x14ac:dyDescent="0.3">
      <c r="B20" s="17" t="s">
        <v>45</v>
      </c>
      <c r="C20" s="194"/>
      <c r="D20" s="181"/>
      <c r="E20" s="183"/>
      <c r="F20" s="95"/>
      <c r="G20" s="35" t="s">
        <v>2</v>
      </c>
      <c r="H20" s="35" t="s">
        <v>3</v>
      </c>
      <c r="I20" s="35" t="s">
        <v>16</v>
      </c>
      <c r="J20" s="126" t="s">
        <v>4</v>
      </c>
      <c r="K20" s="35" t="s">
        <v>5</v>
      </c>
      <c r="L20" s="138" t="s">
        <v>2</v>
      </c>
      <c r="R20" s="36"/>
      <c r="S20" s="36"/>
      <c r="T20" s="36"/>
      <c r="V20" s="34" t="s">
        <v>3</v>
      </c>
      <c r="W20" s="34" t="s">
        <v>23</v>
      </c>
      <c r="X20" s="149" t="s">
        <v>4</v>
      </c>
      <c r="Y20" s="34" t="s">
        <v>5</v>
      </c>
      <c r="AB20" s="103"/>
      <c r="AC20" s="103"/>
    </row>
    <row r="21" spans="2:30" s="42" customFormat="1" x14ac:dyDescent="0.25">
      <c r="C21" s="130">
        <f>+K10</f>
        <v>0.44624999999999998</v>
      </c>
      <c r="D21" s="67">
        <f>+C21+H$12/10000</f>
        <v>0.46625</v>
      </c>
      <c r="E21" s="83"/>
      <c r="F21" s="96">
        <f>+H14</f>
        <v>44680</v>
      </c>
      <c r="G21" s="127">
        <f>+H14</f>
        <v>44680</v>
      </c>
      <c r="H21" s="56">
        <v>0</v>
      </c>
      <c r="I21" s="56">
        <v>0</v>
      </c>
      <c r="J21" s="57">
        <v>0</v>
      </c>
      <c r="K21" s="89">
        <f>+H8</f>
        <v>110629790</v>
      </c>
      <c r="L21" s="105">
        <f>+H14</f>
        <v>44680</v>
      </c>
      <c r="Q21" s="58"/>
      <c r="R21" s="59">
        <f>-Y21*K14/100</f>
        <v>-105277553.94873701</v>
      </c>
      <c r="S21" s="59"/>
      <c r="T21" s="59"/>
      <c r="U21" s="58"/>
      <c r="V21" s="87"/>
      <c r="W21" s="56"/>
      <c r="X21" s="57"/>
      <c r="Y21" s="89">
        <f>+H8</f>
        <v>110629790</v>
      </c>
      <c r="AB21" s="103"/>
      <c r="AC21" s="103"/>
      <c r="AD21" s="17"/>
    </row>
    <row r="22" spans="2:30" s="42" customFormat="1" x14ac:dyDescent="0.25">
      <c r="B22" s="68">
        <f>+'VDF A'!B26-'VDF A'!X26</f>
        <v>54813184.300978407</v>
      </c>
      <c r="C22" s="97">
        <f>+C21</f>
        <v>0.44624999999999998</v>
      </c>
      <c r="D22" s="67">
        <f>+C22+H$12/10000</f>
        <v>0.46625</v>
      </c>
      <c r="E22" s="84">
        <f>+IF(D22&lt;=H$10,H$10,IF(D22&gt;=H$11,H$11,D22))</f>
        <v>0.46625</v>
      </c>
      <c r="F22" s="98">
        <f>+G22-G21</f>
        <v>200</v>
      </c>
      <c r="G22" s="111">
        <v>44880</v>
      </c>
      <c r="H22" s="56">
        <v>43584562</v>
      </c>
      <c r="I22" s="56">
        <v>23785405</v>
      </c>
      <c r="J22" s="57">
        <f>+H22+I22</f>
        <v>67369967</v>
      </c>
      <c r="K22" s="89">
        <f>+K21-H22</f>
        <v>67045228</v>
      </c>
      <c r="L22" s="106">
        <f>+G22</f>
        <v>44880</v>
      </c>
      <c r="M22" s="73"/>
      <c r="N22" s="74"/>
      <c r="Q22" s="60">
        <f>+L22-L$21</f>
        <v>200</v>
      </c>
      <c r="R22" s="59">
        <f>+X22</f>
        <v>54813184.300978407</v>
      </c>
      <c r="S22" s="59">
        <f>+X22/(1+R$28)^(Q22/365)</f>
        <v>42318323.36827445</v>
      </c>
      <c r="T22" s="59">
        <f>+S22/S$25*Q22</f>
        <v>80.393819527632076</v>
      </c>
      <c r="U22" s="99"/>
      <c r="V22" s="87">
        <f t="shared" ref="V22" si="0">+IF(Y21&gt;0,MIN(Y21,B22-W22),0)</f>
        <v>29022614.507228404</v>
      </c>
      <c r="W22" s="125">
        <f>+IF((Y21*E22/360*180)&gt;B22,B22,(Y21*E22/360*180))</f>
        <v>25790569.793750003</v>
      </c>
      <c r="X22" s="57">
        <f>+V22+W22</f>
        <v>54813184.300978407</v>
      </c>
      <c r="Y22" s="89">
        <f>+Y21-V22</f>
        <v>81607175.492771596</v>
      </c>
      <c r="AB22" s="100">
        <f>+Y21*E22/360*180</f>
        <v>25790569.793750003</v>
      </c>
      <c r="AC22" s="132">
        <f>+AB22-W22</f>
        <v>0</v>
      </c>
      <c r="AD22" s="17"/>
    </row>
    <row r="23" spans="2:30" s="42" customFormat="1" x14ac:dyDescent="0.25">
      <c r="B23" s="68">
        <v>83451431</v>
      </c>
      <c r="C23" s="97">
        <f>+C22</f>
        <v>0.44624999999999998</v>
      </c>
      <c r="D23" s="67">
        <f>+C23+H$12/10000</f>
        <v>0.46625</v>
      </c>
      <c r="E23" s="84">
        <f>+IF(D23&lt;=H$10,H$10,IF(D23&gt;=H$11,H$11,D23))</f>
        <v>0.46625</v>
      </c>
      <c r="F23" s="98">
        <f>+G23-G22</f>
        <v>30</v>
      </c>
      <c r="G23" s="111">
        <v>44910</v>
      </c>
      <c r="H23" s="56">
        <v>67045228</v>
      </c>
      <c r="I23" s="56">
        <v>2402454</v>
      </c>
      <c r="J23" s="57">
        <f>+H23+I23</f>
        <v>69447682</v>
      </c>
      <c r="K23" s="89">
        <f>+K22-H23</f>
        <v>0</v>
      </c>
      <c r="L23" s="106">
        <f>+G23</f>
        <v>44910</v>
      </c>
      <c r="M23" s="73"/>
      <c r="N23" s="74"/>
      <c r="Q23" s="60">
        <f>+L23-L$21</f>
        <v>230</v>
      </c>
      <c r="R23" s="59">
        <f>+X23</f>
        <v>83451431</v>
      </c>
      <c r="S23" s="59">
        <f>+X23/(1+R$28)^(Q23/365)</f>
        <v>61976025.480868079</v>
      </c>
      <c r="T23" s="59">
        <f>+S23/S$25*Q23</f>
        <v>135.39909813574448</v>
      </c>
      <c r="U23" s="99"/>
      <c r="V23" s="87">
        <f t="shared" ref="V23" si="1">+IF(Y22&gt;0,MIN(Y22,B23-W23),0)</f>
        <v>80280652.202207938</v>
      </c>
      <c r="W23" s="125">
        <f>+IF((Y22*E23/360*30+AC22)&gt;B23,B23,(Y22*E23/360*30+AC22))</f>
        <v>3170778.7977920631</v>
      </c>
      <c r="X23" s="57">
        <f>+V23+W23</f>
        <v>83451431</v>
      </c>
      <c r="Y23" s="89">
        <f>+Y22-V23</f>
        <v>1326523.2905636579</v>
      </c>
      <c r="AB23" s="100">
        <f>+Y22*E23/360*30</f>
        <v>3170778.7977920631</v>
      </c>
      <c r="AC23" s="132">
        <f>+AB23-W23+AC22</f>
        <v>0</v>
      </c>
      <c r="AD23" s="17"/>
    </row>
    <row r="24" spans="2:30" s="42" customFormat="1" ht="15.75" thickBot="1" x14ac:dyDescent="0.3">
      <c r="B24" s="68">
        <v>83451431</v>
      </c>
      <c r="C24" s="97">
        <f>+C23</f>
        <v>0.44624999999999998</v>
      </c>
      <c r="D24" s="67">
        <f>+C24+H$12/10000</f>
        <v>0.46625</v>
      </c>
      <c r="E24" s="84">
        <f>+IF(D24&lt;=H$10,H$10,IF(D24&gt;=H$11,H$11,D24))</f>
        <v>0.46625</v>
      </c>
      <c r="F24" s="98">
        <f>+G24-G23</f>
        <v>31</v>
      </c>
      <c r="G24" s="150">
        <v>44941</v>
      </c>
      <c r="H24" s="151"/>
      <c r="I24" s="151"/>
      <c r="J24" s="152">
        <f>+H24+I24</f>
        <v>0</v>
      </c>
      <c r="K24" s="90">
        <f>+K23-H24</f>
        <v>0</v>
      </c>
      <c r="L24" s="106">
        <f>+G24</f>
        <v>44941</v>
      </c>
      <c r="M24" s="73"/>
      <c r="N24" s="74"/>
      <c r="Q24" s="60">
        <f>+L24-L$21</f>
        <v>261</v>
      </c>
      <c r="R24" s="59">
        <f>+X24</f>
        <v>1378064.2475824333</v>
      </c>
      <c r="S24" s="59">
        <f>+X24/(1+R$28)^(Q24/365)</f>
        <v>983205.11439134937</v>
      </c>
      <c r="T24" s="59">
        <f>+S24/S$25*Q24</f>
        <v>2.437523718921407</v>
      </c>
      <c r="U24" s="99"/>
      <c r="V24" s="153">
        <f t="shared" ref="V24" si="2">+IF(Y23&gt;0,MIN(Y23,B24-W24),0)</f>
        <v>1326523.2905636579</v>
      </c>
      <c r="W24" s="154">
        <f>+IF((Y23*E24/360*30+AC23)&gt;B24,B24,(Y23*E24/360*30+AC23))</f>
        <v>51540.957018775458</v>
      </c>
      <c r="X24" s="152">
        <f>+V24+W24</f>
        <v>1378064.2475824333</v>
      </c>
      <c r="Y24" s="90">
        <f>+Y23-V24</f>
        <v>0</v>
      </c>
      <c r="AB24" s="100">
        <f>+Y23*E24/360*30</f>
        <v>51540.957018775458</v>
      </c>
      <c r="AC24" s="132">
        <f>+AB24-W24+AC23</f>
        <v>0</v>
      </c>
      <c r="AD24" s="17"/>
    </row>
    <row r="25" spans="2:30" s="42" customFormat="1" ht="15.75" thickBot="1" x14ac:dyDescent="0.3">
      <c r="B25" s="85"/>
      <c r="C25" s="85"/>
      <c r="D25" s="85"/>
      <c r="E25" s="85"/>
      <c r="G25" s="93" t="s">
        <v>4</v>
      </c>
      <c r="H25" s="86">
        <f>+SUM(H21:H23)</f>
        <v>110629790</v>
      </c>
      <c r="I25" s="86">
        <f>+SUM(I21:I23)</f>
        <v>26187859</v>
      </c>
      <c r="J25" s="86">
        <f>+SUM(J21:J23)</f>
        <v>136817649</v>
      </c>
      <c r="K25" s="62"/>
      <c r="L25" s="61" t="s">
        <v>4</v>
      </c>
      <c r="R25" s="63">
        <f>+SUM(R22:R24)</f>
        <v>139642679.54856086</v>
      </c>
      <c r="S25" s="63">
        <f>+SUM(S22:S24)</f>
        <v>105277553.96353388</v>
      </c>
      <c r="T25" s="63">
        <f>+SUM(T22:T24)</f>
        <v>218.23044138229795</v>
      </c>
      <c r="V25" s="86">
        <f>+SUM(V21:V24)</f>
        <v>110629790</v>
      </c>
      <c r="W25" s="86">
        <f>+SUM(W21:W24)</f>
        <v>29012889.548560839</v>
      </c>
      <c r="X25" s="86">
        <f>+SUM(X22:X24)</f>
        <v>139642679.54856086</v>
      </c>
      <c r="Y25" s="62"/>
      <c r="AB25" s="103"/>
      <c r="AC25" s="103"/>
      <c r="AD25" s="17"/>
    </row>
    <row r="26" spans="2:30" s="42" customFormat="1" x14ac:dyDescent="0.25">
      <c r="G26" s="78"/>
      <c r="R26" s="42" t="s">
        <v>44</v>
      </c>
      <c r="S26" s="155">
        <f>+H8*K14/100-S25</f>
        <v>-1.4796867966651917E-2</v>
      </c>
      <c r="W26" s="100"/>
      <c r="Y26" s="68"/>
      <c r="AB26" s="103"/>
      <c r="AC26" s="103"/>
      <c r="AD26" s="17"/>
    </row>
    <row r="27" spans="2:30" s="42" customFormat="1" ht="14.45" customHeight="1" x14ac:dyDescent="0.25">
      <c r="G27" s="197" t="s">
        <v>38</v>
      </c>
      <c r="H27" s="198"/>
      <c r="I27" s="198"/>
      <c r="J27" s="198"/>
      <c r="K27" s="198"/>
      <c r="L27" s="79"/>
      <c r="M27" s="79"/>
      <c r="Y27" s="68"/>
      <c r="AB27" s="103"/>
      <c r="AC27" s="103"/>
      <c r="AD27" s="17"/>
    </row>
    <row r="28" spans="2:30" s="42" customFormat="1" x14ac:dyDescent="0.25">
      <c r="G28" s="80"/>
      <c r="H28" s="80"/>
      <c r="I28" s="80"/>
      <c r="J28" s="80"/>
      <c r="K28" s="80"/>
      <c r="M28" s="54"/>
      <c r="Q28" s="42" t="s">
        <v>9</v>
      </c>
      <c r="R28" s="81">
        <f>+XIRR(R21:R24,L21:L24)</f>
        <v>0.60343278050422677</v>
      </c>
      <c r="S28" s="81"/>
      <c r="T28" s="81"/>
      <c r="AB28" s="103"/>
      <c r="AC28" s="103"/>
      <c r="AD28" s="17"/>
    </row>
    <row r="29" spans="2:30" s="42" customFormat="1" ht="14.25" customHeight="1" x14ac:dyDescent="0.25">
      <c r="G29" s="167" t="s">
        <v>27</v>
      </c>
      <c r="H29" s="168"/>
      <c r="I29" s="168"/>
      <c r="J29" s="168"/>
      <c r="K29" s="169"/>
      <c r="L29" s="82"/>
      <c r="M29" s="81"/>
      <c r="Q29" s="42" t="s">
        <v>10</v>
      </c>
      <c r="R29" s="54">
        <f>((+R28+1)^(1/12)-1)*12</f>
        <v>0.48155828866528072</v>
      </c>
      <c r="S29" s="54"/>
      <c r="T29" s="54"/>
      <c r="AB29" s="103"/>
      <c r="AC29" s="103"/>
      <c r="AD29" s="17"/>
    </row>
    <row r="30" spans="2:30" s="42" customFormat="1" ht="15" customHeight="1" x14ac:dyDescent="0.25">
      <c r="G30" s="170"/>
      <c r="H30" s="171"/>
      <c r="I30" s="171"/>
      <c r="J30" s="171"/>
      <c r="K30" s="172"/>
      <c r="L30" s="82"/>
      <c r="M30" s="81"/>
      <c r="AB30" s="103"/>
      <c r="AC30" s="103"/>
      <c r="AD30" s="17"/>
    </row>
    <row r="31" spans="2:30" s="42" customFormat="1" x14ac:dyDescent="0.25">
      <c r="G31" s="170"/>
      <c r="H31" s="171"/>
      <c r="I31" s="171"/>
      <c r="J31" s="171"/>
      <c r="K31" s="172"/>
      <c r="L31" s="82"/>
      <c r="M31" s="81"/>
      <c r="AB31" s="103"/>
      <c r="AC31" s="103"/>
      <c r="AD31" s="17"/>
    </row>
    <row r="32" spans="2:30" s="42" customFormat="1" x14ac:dyDescent="0.25">
      <c r="G32" s="170"/>
      <c r="H32" s="171"/>
      <c r="I32" s="171"/>
      <c r="J32" s="171"/>
      <c r="K32" s="172"/>
      <c r="L32" s="82"/>
      <c r="M32" s="81"/>
      <c r="AB32" s="103"/>
      <c r="AC32" s="103"/>
      <c r="AD32" s="17"/>
    </row>
    <row r="33" spans="7:30" s="42" customFormat="1" x14ac:dyDescent="0.25">
      <c r="G33" s="170"/>
      <c r="H33" s="171"/>
      <c r="I33" s="171"/>
      <c r="J33" s="171"/>
      <c r="K33" s="172"/>
      <c r="L33" s="82"/>
      <c r="M33" s="81"/>
      <c r="AB33" s="103"/>
      <c r="AC33" s="103"/>
      <c r="AD33" s="17"/>
    </row>
    <row r="34" spans="7:30" s="42" customFormat="1" x14ac:dyDescent="0.25">
      <c r="G34" s="173"/>
      <c r="H34" s="174"/>
      <c r="I34" s="174"/>
      <c r="J34" s="174"/>
      <c r="K34" s="175"/>
      <c r="L34" s="82"/>
      <c r="M34" s="81"/>
      <c r="AB34" s="103"/>
      <c r="AC34" s="103"/>
      <c r="AD34" s="17"/>
    </row>
    <row r="35" spans="7:30" s="42" customFormat="1" x14ac:dyDescent="0.25">
      <c r="L35" s="82"/>
      <c r="M35" s="81"/>
      <c r="O35" s="54"/>
      <c r="AB35" s="103"/>
      <c r="AC35" s="103"/>
      <c r="AD35" s="17"/>
    </row>
    <row r="36" spans="7:30" x14ac:dyDescent="0.25">
      <c r="L36" s="3"/>
      <c r="M36" s="2"/>
      <c r="N36" s="137"/>
      <c r="AB36" s="103"/>
      <c r="AC36" s="103"/>
      <c r="AD36" s="17"/>
    </row>
    <row r="37" spans="7:30" x14ac:dyDescent="0.25">
      <c r="N37" s="137"/>
      <c r="AB37" s="103"/>
      <c r="AC37" s="103"/>
      <c r="AD37" s="17"/>
    </row>
    <row r="38" spans="7:30" x14ac:dyDescent="0.25">
      <c r="N38" s="42"/>
      <c r="O38" s="133"/>
      <c r="R38" s="42"/>
      <c r="S38" s="54"/>
      <c r="AB38" s="103"/>
      <c r="AC38" s="103"/>
      <c r="AD38" s="17"/>
    </row>
    <row r="39" spans="7:30" x14ac:dyDescent="0.25">
      <c r="N39" s="137"/>
      <c r="O39" s="146"/>
      <c r="R39" s="92"/>
      <c r="S39" s="42"/>
      <c r="AB39" s="103"/>
      <c r="AC39" s="103"/>
      <c r="AD39" s="17"/>
    </row>
    <row r="40" spans="7:30" x14ac:dyDescent="0.25">
      <c r="N40" s="137"/>
      <c r="O40" s="146"/>
      <c r="R40" s="92"/>
      <c r="S40" s="42"/>
      <c r="AB40" s="103"/>
      <c r="AC40" s="103"/>
      <c r="AD40" s="17"/>
    </row>
    <row r="41" spans="7:30" x14ac:dyDescent="0.25">
      <c r="N41" s="137"/>
      <c r="O41" s="146"/>
      <c r="R41" s="92"/>
      <c r="S41" s="42"/>
      <c r="AB41" s="103"/>
      <c r="AC41" s="103"/>
      <c r="AD41" s="17"/>
    </row>
    <row r="42" spans="7:30" x14ac:dyDescent="0.25">
      <c r="N42" s="137"/>
      <c r="O42" s="146"/>
      <c r="R42" s="92"/>
      <c r="S42" s="42"/>
      <c r="AB42" s="103"/>
      <c r="AC42" s="103"/>
      <c r="AD42" s="17"/>
    </row>
    <row r="43" spans="7:30" x14ac:dyDescent="0.25">
      <c r="N43" s="137"/>
      <c r="O43" s="146"/>
      <c r="R43" s="92"/>
      <c r="S43" s="17"/>
      <c r="AB43" s="103"/>
      <c r="AC43" s="103"/>
      <c r="AD43" s="17"/>
    </row>
    <row r="44" spans="7:30" x14ac:dyDescent="0.25">
      <c r="N44" s="137"/>
      <c r="O44" s="146"/>
      <c r="R44" s="92"/>
      <c r="S44" s="17"/>
      <c r="AB44" s="103"/>
      <c r="AC44" s="103"/>
      <c r="AD44" s="17"/>
    </row>
    <row r="45" spans="7:30" x14ac:dyDescent="0.25">
      <c r="N45" s="137"/>
      <c r="O45" s="146"/>
      <c r="R45" s="92"/>
      <c r="S45" s="17"/>
      <c r="AB45" s="103"/>
      <c r="AC45" s="103"/>
      <c r="AD45" s="17"/>
    </row>
    <row r="46" spans="7:30" x14ac:dyDescent="0.25">
      <c r="N46" s="137"/>
      <c r="O46" s="146"/>
      <c r="R46" s="92"/>
      <c r="S46" s="17"/>
    </row>
  </sheetData>
  <sheetProtection selectLockedCells="1" selectUnlockedCells="1"/>
  <dataConsolidate/>
  <mergeCells count="9">
    <mergeCell ref="V19:Y19"/>
    <mergeCell ref="G29:K34"/>
    <mergeCell ref="G5:Y5"/>
    <mergeCell ref="C19:C20"/>
    <mergeCell ref="D19:D20"/>
    <mergeCell ref="E19:E20"/>
    <mergeCell ref="G19:K19"/>
    <mergeCell ref="S19:T19"/>
    <mergeCell ref="G27:K27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K10" unlockedFormula="1"/>
    <ignoredError sqref="H26:J26" formulaRange="1"/>
    <ignoredError sqref="I21:W21 J22 L22:Q22 X22 T22:U22 Y21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0"/>
  <sheetViews>
    <sheetView zoomScale="115" zoomScaleNormal="115" workbookViewId="0">
      <selection activeCell="E4" sqref="E4"/>
    </sheetView>
  </sheetViews>
  <sheetFormatPr baseColWidth="10" defaultRowHeight="15" x14ac:dyDescent="0.25"/>
  <cols>
    <col min="1" max="1" width="35.28515625" bestFit="1" customWidth="1"/>
    <col min="2" max="2" width="11.42578125" style="114"/>
    <col min="3" max="3" width="13.7109375" bestFit="1" customWidth="1"/>
  </cols>
  <sheetData>
    <row r="1" spans="1:5" x14ac:dyDescent="0.25">
      <c r="A1" s="107"/>
    </row>
    <row r="2" spans="1:5" ht="15.75" thickBot="1" x14ac:dyDescent="0.3">
      <c r="A2" s="107"/>
    </row>
    <row r="3" spans="1:5" ht="15.75" thickBot="1" x14ac:dyDescent="0.3">
      <c r="A3" s="118" t="s">
        <v>43</v>
      </c>
      <c r="B3" s="119" t="s">
        <v>41</v>
      </c>
    </row>
    <row r="4" spans="1:5" ht="16.5" thickTop="1" thickBot="1" x14ac:dyDescent="0.3">
      <c r="A4" s="122">
        <v>43069</v>
      </c>
      <c r="B4" s="112">
        <f t="shared" ref="B4:B17" si="0">+B5</f>
        <v>44.625</v>
      </c>
      <c r="C4" s="129">
        <f>22.0543/100</f>
        <v>0.22054300000000002</v>
      </c>
      <c r="D4">
        <v>22.054300000000001</v>
      </c>
      <c r="E4" s="129">
        <f>AVERAGE(B4:B63)/100</f>
        <v>0.2754375</v>
      </c>
    </row>
    <row r="5" spans="1:5" ht="15.75" thickBot="1" x14ac:dyDescent="0.3">
      <c r="A5" s="122">
        <v>43068</v>
      </c>
      <c r="B5" s="112">
        <f t="shared" si="0"/>
        <v>44.625</v>
      </c>
    </row>
    <row r="6" spans="1:5" ht="15.75" thickBot="1" x14ac:dyDescent="0.3">
      <c r="A6" s="122">
        <v>43067</v>
      </c>
      <c r="B6" s="112">
        <f t="shared" si="0"/>
        <v>44.625</v>
      </c>
    </row>
    <row r="7" spans="1:5" ht="15.75" thickBot="1" x14ac:dyDescent="0.3">
      <c r="A7" s="122">
        <v>43066</v>
      </c>
      <c r="B7" s="112">
        <f t="shared" si="0"/>
        <v>44.625</v>
      </c>
    </row>
    <row r="8" spans="1:5" ht="15.75" thickBot="1" x14ac:dyDescent="0.3">
      <c r="A8" s="122">
        <v>43065</v>
      </c>
      <c r="B8" s="112">
        <f t="shared" si="0"/>
        <v>44.625</v>
      </c>
    </row>
    <row r="9" spans="1:5" ht="15.75" thickBot="1" x14ac:dyDescent="0.3">
      <c r="A9" s="122">
        <v>43064</v>
      </c>
      <c r="B9" s="112">
        <f t="shared" si="0"/>
        <v>44.625</v>
      </c>
    </row>
    <row r="10" spans="1:5" ht="15.75" thickBot="1" x14ac:dyDescent="0.3">
      <c r="A10" s="122">
        <v>43063</v>
      </c>
      <c r="B10" s="112">
        <f t="shared" si="0"/>
        <v>44.625</v>
      </c>
    </row>
    <row r="11" spans="1:5" ht="15.75" thickBot="1" x14ac:dyDescent="0.3">
      <c r="A11" s="122">
        <v>43062</v>
      </c>
      <c r="B11" s="112">
        <f t="shared" si="0"/>
        <v>44.625</v>
      </c>
    </row>
    <row r="12" spans="1:5" ht="15.75" thickBot="1" x14ac:dyDescent="0.3">
      <c r="A12" s="122">
        <v>43061</v>
      </c>
      <c r="B12" s="112">
        <f t="shared" si="0"/>
        <v>44.625</v>
      </c>
    </row>
    <row r="13" spans="1:5" ht="15.75" thickBot="1" x14ac:dyDescent="0.3">
      <c r="A13" s="122">
        <v>43060</v>
      </c>
      <c r="B13" s="112">
        <f t="shared" si="0"/>
        <v>44.625</v>
      </c>
    </row>
    <row r="14" spans="1:5" ht="15.75" thickBot="1" x14ac:dyDescent="0.3">
      <c r="A14" s="122">
        <v>43059</v>
      </c>
      <c r="B14" s="112">
        <f t="shared" si="0"/>
        <v>44.625</v>
      </c>
    </row>
    <row r="15" spans="1:5" ht="15.75" thickBot="1" x14ac:dyDescent="0.3">
      <c r="A15" s="122">
        <v>43058</v>
      </c>
      <c r="B15" s="112">
        <f t="shared" si="0"/>
        <v>44.625</v>
      </c>
    </row>
    <row r="16" spans="1:5" ht="15.75" thickBot="1" x14ac:dyDescent="0.3">
      <c r="A16" s="123">
        <v>43057</v>
      </c>
      <c r="B16" s="112">
        <f t="shared" si="0"/>
        <v>44.625</v>
      </c>
    </row>
    <row r="17" spans="1:2" ht="15.75" thickBot="1" x14ac:dyDescent="0.3">
      <c r="A17" s="122">
        <v>43056</v>
      </c>
      <c r="B17" s="112">
        <f t="shared" si="0"/>
        <v>44.625</v>
      </c>
    </row>
    <row r="18" spans="1:2" ht="15.75" thickBot="1" x14ac:dyDescent="0.3">
      <c r="A18" s="123">
        <v>43055</v>
      </c>
      <c r="B18" s="124">
        <f>+'VDF A'!K10*100</f>
        <v>44.625</v>
      </c>
    </row>
    <row r="19" spans="1:2" ht="15.75" thickBot="1" x14ac:dyDescent="0.3">
      <c r="A19" s="122">
        <v>43054</v>
      </c>
      <c r="B19" s="112">
        <v>22.8125</v>
      </c>
    </row>
    <row r="20" spans="1:2" ht="15.75" thickBot="1" x14ac:dyDescent="0.3">
      <c r="A20" s="123">
        <v>43053</v>
      </c>
      <c r="B20" s="112">
        <v>22.625</v>
      </c>
    </row>
    <row r="21" spans="1:2" ht="15.75" thickBot="1" x14ac:dyDescent="0.3">
      <c r="A21" s="122">
        <v>43052</v>
      </c>
      <c r="B21" s="113">
        <v>22.5625</v>
      </c>
    </row>
    <row r="22" spans="1:2" ht="15.75" thickBot="1" x14ac:dyDescent="0.3">
      <c r="A22" s="122">
        <f>+A23+1</f>
        <v>43051</v>
      </c>
      <c r="B22" s="113">
        <f>+B23</f>
        <v>22.1875</v>
      </c>
    </row>
    <row r="23" spans="1:2" ht="15.75" thickBot="1" x14ac:dyDescent="0.3">
      <c r="A23" s="122">
        <f>+A24+1</f>
        <v>43050</v>
      </c>
      <c r="B23" s="113">
        <f>+B24</f>
        <v>22.1875</v>
      </c>
    </row>
    <row r="24" spans="1:2" ht="15.75" thickBot="1" x14ac:dyDescent="0.3">
      <c r="A24" s="123">
        <v>43049</v>
      </c>
      <c r="B24" s="112">
        <v>22.1875</v>
      </c>
    </row>
    <row r="25" spans="1:2" ht="15.75" thickBot="1" x14ac:dyDescent="0.3">
      <c r="A25" s="122">
        <v>43048</v>
      </c>
      <c r="B25" s="113">
        <v>22.4375</v>
      </c>
    </row>
    <row r="26" spans="1:2" ht="15.75" thickBot="1" x14ac:dyDescent="0.3">
      <c r="A26" s="123">
        <v>43047</v>
      </c>
      <c r="B26" s="112">
        <v>22.375</v>
      </c>
    </row>
    <row r="27" spans="1:2" ht="15.75" thickBot="1" x14ac:dyDescent="0.3">
      <c r="A27" s="122">
        <v>43046</v>
      </c>
      <c r="B27" s="113">
        <v>22</v>
      </c>
    </row>
    <row r="28" spans="1:2" ht="15.75" thickBot="1" x14ac:dyDescent="0.3">
      <c r="A28" s="122">
        <f>+A29+1</f>
        <v>43045</v>
      </c>
      <c r="B28" s="113">
        <f>+B29</f>
        <v>22.0625</v>
      </c>
    </row>
    <row r="29" spans="1:2" ht="15.75" thickBot="1" x14ac:dyDescent="0.3">
      <c r="A29" s="122">
        <f>+A30+1</f>
        <v>43044</v>
      </c>
      <c r="B29" s="113">
        <f>+B30</f>
        <v>22.0625</v>
      </c>
    </row>
    <row r="30" spans="1:2" ht="15.75" thickBot="1" x14ac:dyDescent="0.3">
      <c r="A30" s="122">
        <f>+A31+1</f>
        <v>43043</v>
      </c>
      <c r="B30" s="113">
        <f>+B31</f>
        <v>22.0625</v>
      </c>
    </row>
    <row r="31" spans="1:2" ht="15.75" thickBot="1" x14ac:dyDescent="0.3">
      <c r="A31" s="123">
        <v>43042</v>
      </c>
      <c r="B31" s="112">
        <v>22.0625</v>
      </c>
    </row>
    <row r="32" spans="1:2" ht="15.75" thickBot="1" x14ac:dyDescent="0.3">
      <c r="A32" s="122">
        <v>43041</v>
      </c>
      <c r="B32" s="113">
        <v>22.625</v>
      </c>
    </row>
    <row r="33" spans="1:2" ht="15.75" thickBot="1" x14ac:dyDescent="0.3">
      <c r="A33" s="123">
        <v>43040</v>
      </c>
      <c r="B33" s="112">
        <v>21.75</v>
      </c>
    </row>
    <row r="34" spans="1:2" ht="15.75" thickBot="1" x14ac:dyDescent="0.3">
      <c r="A34" s="122">
        <v>43039</v>
      </c>
      <c r="B34" s="113">
        <v>22.25</v>
      </c>
    </row>
    <row r="35" spans="1:2" ht="15.75" thickBot="1" x14ac:dyDescent="0.3">
      <c r="A35" s="123">
        <v>43038</v>
      </c>
      <c r="B35" s="112">
        <v>22</v>
      </c>
    </row>
    <row r="36" spans="1:2" ht="15.75" thickBot="1" x14ac:dyDescent="0.3">
      <c r="A36" s="123">
        <f>+A37+1</f>
        <v>43037</v>
      </c>
      <c r="B36" s="112">
        <f>+B37</f>
        <v>22.0625</v>
      </c>
    </row>
    <row r="37" spans="1:2" ht="15.75" thickBot="1" x14ac:dyDescent="0.3">
      <c r="A37" s="123">
        <f>+A38+1</f>
        <v>43036</v>
      </c>
      <c r="B37" s="112">
        <f>+B38</f>
        <v>22.0625</v>
      </c>
    </row>
    <row r="38" spans="1:2" ht="15.75" thickBot="1" x14ac:dyDescent="0.3">
      <c r="A38" s="122">
        <v>43035</v>
      </c>
      <c r="B38" s="113">
        <v>22.0625</v>
      </c>
    </row>
    <row r="39" spans="1:2" ht="15.75" thickBot="1" x14ac:dyDescent="0.3">
      <c r="A39" s="123">
        <v>43034</v>
      </c>
      <c r="B39" s="112">
        <v>21.75</v>
      </c>
    </row>
    <row r="40" spans="1:2" ht="15.75" thickBot="1" x14ac:dyDescent="0.3">
      <c r="A40" s="122">
        <v>43033</v>
      </c>
      <c r="B40" s="113">
        <v>21.5625</v>
      </c>
    </row>
    <row r="41" spans="1:2" ht="15.75" thickBot="1" x14ac:dyDescent="0.3">
      <c r="A41" s="123">
        <v>43032</v>
      </c>
      <c r="B41" s="112">
        <v>22.125</v>
      </c>
    </row>
    <row r="42" spans="1:2" ht="15.75" thickBot="1" x14ac:dyDescent="0.3">
      <c r="A42" s="122">
        <v>43031</v>
      </c>
      <c r="B42" s="113">
        <v>21.625</v>
      </c>
    </row>
    <row r="43" spans="1:2" ht="15.75" thickBot="1" x14ac:dyDescent="0.3">
      <c r="A43" s="122">
        <f>+A44+1</f>
        <v>43030</v>
      </c>
      <c r="B43" s="113">
        <f>+B44</f>
        <v>21.9375</v>
      </c>
    </row>
    <row r="44" spans="1:2" ht="15.75" thickBot="1" x14ac:dyDescent="0.3">
      <c r="A44" s="122">
        <f>+A45+1</f>
        <v>43029</v>
      </c>
      <c r="B44" s="113">
        <f>+B45</f>
        <v>21.9375</v>
      </c>
    </row>
    <row r="45" spans="1:2" ht="15.75" thickBot="1" x14ac:dyDescent="0.3">
      <c r="A45" s="123">
        <v>43028</v>
      </c>
      <c r="B45" s="112">
        <v>21.9375</v>
      </c>
    </row>
    <row r="46" spans="1:2" ht="15.75" thickBot="1" x14ac:dyDescent="0.3">
      <c r="A46" s="122">
        <v>43027</v>
      </c>
      <c r="B46" s="113">
        <v>21.625</v>
      </c>
    </row>
    <row r="47" spans="1:2" ht="15.75" thickBot="1" x14ac:dyDescent="0.3">
      <c r="A47" s="123">
        <v>43026</v>
      </c>
      <c r="B47" s="112">
        <v>21.8125</v>
      </c>
    </row>
    <row r="48" spans="1:2" ht="15.75" thickBot="1" x14ac:dyDescent="0.3">
      <c r="A48" s="122">
        <v>43025</v>
      </c>
      <c r="B48" s="113">
        <v>21.625</v>
      </c>
    </row>
    <row r="49" spans="1:2" ht="15.75" thickBot="1" x14ac:dyDescent="0.3">
      <c r="A49" s="122">
        <f>+A50+1</f>
        <v>43024</v>
      </c>
      <c r="B49" s="113">
        <f>+B50</f>
        <v>21.4375</v>
      </c>
    </row>
    <row r="50" spans="1:2" ht="15.75" thickBot="1" x14ac:dyDescent="0.3">
      <c r="A50" s="122">
        <f>+A51+1</f>
        <v>43023</v>
      </c>
      <c r="B50" s="113">
        <f>+B51</f>
        <v>21.4375</v>
      </c>
    </row>
    <row r="51" spans="1:2" ht="15.75" thickBot="1" x14ac:dyDescent="0.3">
      <c r="A51" s="122">
        <f>+A52+1</f>
        <v>43022</v>
      </c>
      <c r="B51" s="113">
        <f>+B52</f>
        <v>21.4375</v>
      </c>
    </row>
    <row r="52" spans="1:2" ht="15.75" thickBot="1" x14ac:dyDescent="0.3">
      <c r="A52" s="123">
        <v>43021</v>
      </c>
      <c r="B52" s="112">
        <v>21.4375</v>
      </c>
    </row>
    <row r="53" spans="1:2" ht="15.75" thickBot="1" x14ac:dyDescent="0.3">
      <c r="A53" s="122">
        <v>43020</v>
      </c>
      <c r="B53" s="113">
        <v>21.625</v>
      </c>
    </row>
    <row r="54" spans="1:2" ht="15.75" thickBot="1" x14ac:dyDescent="0.3">
      <c r="A54" s="123">
        <v>43019</v>
      </c>
      <c r="B54" s="112">
        <v>21.25</v>
      </c>
    </row>
    <row r="55" spans="1:2" ht="15.75" thickBot="1" x14ac:dyDescent="0.3">
      <c r="A55" s="122">
        <v>43018</v>
      </c>
      <c r="B55" s="113">
        <v>22</v>
      </c>
    </row>
    <row r="56" spans="1:2" ht="15.75" thickBot="1" x14ac:dyDescent="0.3">
      <c r="A56" s="123">
        <v>43017</v>
      </c>
      <c r="B56" s="112">
        <v>21.25</v>
      </c>
    </row>
    <row r="57" spans="1:2" ht="15.75" thickBot="1" x14ac:dyDescent="0.3">
      <c r="A57" s="123">
        <f>+A58+1</f>
        <v>43016</v>
      </c>
      <c r="B57" s="112">
        <f>+B58</f>
        <v>21.1875</v>
      </c>
    </row>
    <row r="58" spans="1:2" ht="15.75" thickBot="1" x14ac:dyDescent="0.3">
      <c r="A58" s="123">
        <f>+A59+1</f>
        <v>43015</v>
      </c>
      <c r="B58" s="112">
        <f>+B59</f>
        <v>21.1875</v>
      </c>
    </row>
    <row r="59" spans="1:2" ht="15.75" thickBot="1" x14ac:dyDescent="0.3">
      <c r="A59" s="122">
        <v>43014</v>
      </c>
      <c r="B59" s="113">
        <v>21.1875</v>
      </c>
    </row>
    <row r="60" spans="1:2" ht="15.75" thickBot="1" x14ac:dyDescent="0.3">
      <c r="A60" s="123">
        <v>43013</v>
      </c>
      <c r="B60" s="112">
        <v>21.1875</v>
      </c>
    </row>
    <row r="61" spans="1:2" ht="15.75" thickBot="1" x14ac:dyDescent="0.3">
      <c r="A61" s="122">
        <v>43012</v>
      </c>
      <c r="B61" s="113">
        <v>21.25</v>
      </c>
    </row>
    <row r="62" spans="1:2" ht="15.75" thickBot="1" x14ac:dyDescent="0.3">
      <c r="A62" s="123">
        <v>43011</v>
      </c>
      <c r="B62" s="112">
        <v>21.875</v>
      </c>
    </row>
    <row r="63" spans="1:2" ht="15.75" thickBot="1" x14ac:dyDescent="0.3">
      <c r="A63" s="122">
        <v>43010</v>
      </c>
      <c r="B63" s="113">
        <v>21.125</v>
      </c>
    </row>
    <row r="64" spans="1:2" x14ac:dyDescent="0.25">
      <c r="B64" s="117"/>
    </row>
    <row r="65" spans="2:2" x14ac:dyDescent="0.25">
      <c r="B65" s="117"/>
    </row>
    <row r="66" spans="2:2" x14ac:dyDescent="0.25">
      <c r="B66" s="117"/>
    </row>
    <row r="67" spans="2:2" x14ac:dyDescent="0.25">
      <c r="B67" s="117"/>
    </row>
    <row r="68" spans="2:2" x14ac:dyDescent="0.25">
      <c r="B68" s="117"/>
    </row>
    <row r="69" spans="2:2" x14ac:dyDescent="0.25">
      <c r="B69" s="117"/>
    </row>
    <row r="70" spans="2:2" x14ac:dyDescent="0.25">
      <c r="B70" s="117"/>
    </row>
    <row r="71" spans="2:2" x14ac:dyDescent="0.25">
      <c r="B71" s="117"/>
    </row>
    <row r="72" spans="2:2" x14ac:dyDescent="0.25">
      <c r="B72" s="117"/>
    </row>
    <row r="73" spans="2:2" x14ac:dyDescent="0.25">
      <c r="B73" s="117"/>
    </row>
    <row r="74" spans="2:2" x14ac:dyDescent="0.25">
      <c r="B74" s="117"/>
    </row>
    <row r="75" spans="2:2" x14ac:dyDescent="0.25">
      <c r="B75" s="117"/>
    </row>
    <row r="76" spans="2:2" x14ac:dyDescent="0.25">
      <c r="B76" s="117"/>
    </row>
    <row r="77" spans="2:2" x14ac:dyDescent="0.25">
      <c r="B77" s="117"/>
    </row>
    <row r="78" spans="2:2" x14ac:dyDescent="0.25">
      <c r="B78" s="117"/>
    </row>
    <row r="79" spans="2:2" x14ac:dyDescent="0.25">
      <c r="B79" s="117"/>
    </row>
    <row r="80" spans="2:2" x14ac:dyDescent="0.25">
      <c r="B80" s="117"/>
    </row>
    <row r="81" spans="2:2" x14ac:dyDescent="0.25">
      <c r="B81" s="117"/>
    </row>
    <row r="82" spans="2:2" x14ac:dyDescent="0.25">
      <c r="B82" s="117"/>
    </row>
    <row r="83" spans="2:2" x14ac:dyDescent="0.25">
      <c r="B83" s="117"/>
    </row>
    <row r="84" spans="2:2" x14ac:dyDescent="0.25">
      <c r="B84" s="117"/>
    </row>
    <row r="85" spans="2:2" x14ac:dyDescent="0.25">
      <c r="B85" s="117"/>
    </row>
    <row r="86" spans="2:2" x14ac:dyDescent="0.25">
      <c r="B86" s="117"/>
    </row>
    <row r="87" spans="2:2" x14ac:dyDescent="0.25">
      <c r="B87" s="117"/>
    </row>
    <row r="88" spans="2:2" x14ac:dyDescent="0.25">
      <c r="B88" s="117"/>
    </row>
    <row r="89" spans="2:2" x14ac:dyDescent="0.25">
      <c r="B89" s="117"/>
    </row>
    <row r="90" spans="2:2" x14ac:dyDescent="0.25">
      <c r="B90" s="117"/>
    </row>
    <row r="91" spans="2:2" x14ac:dyDescent="0.25">
      <c r="B91" s="117"/>
    </row>
    <row r="92" spans="2:2" x14ac:dyDescent="0.25">
      <c r="B92" s="117"/>
    </row>
    <row r="93" spans="2:2" x14ac:dyDescent="0.25">
      <c r="B93" s="117"/>
    </row>
    <row r="94" spans="2:2" x14ac:dyDescent="0.25">
      <c r="B94" s="117"/>
    </row>
    <row r="95" spans="2:2" x14ac:dyDescent="0.25">
      <c r="B95" s="117"/>
    </row>
    <row r="96" spans="2:2" x14ac:dyDescent="0.25">
      <c r="B96" s="117"/>
    </row>
    <row r="97" spans="2:2" x14ac:dyDescent="0.25">
      <c r="B97" s="117"/>
    </row>
    <row r="98" spans="2:2" x14ac:dyDescent="0.25">
      <c r="B98" s="117"/>
    </row>
    <row r="99" spans="2:2" x14ac:dyDescent="0.25">
      <c r="B99" s="117"/>
    </row>
    <row r="100" spans="2:2" x14ac:dyDescent="0.25">
      <c r="B100" s="117"/>
    </row>
    <row r="101" spans="2:2" x14ac:dyDescent="0.25">
      <c r="B101" s="117"/>
    </row>
    <row r="102" spans="2:2" x14ac:dyDescent="0.25">
      <c r="B102" s="117"/>
    </row>
    <row r="103" spans="2:2" x14ac:dyDescent="0.25">
      <c r="B103" s="117"/>
    </row>
    <row r="104" spans="2:2" x14ac:dyDescent="0.25">
      <c r="B104" s="117"/>
    </row>
    <row r="105" spans="2:2" x14ac:dyDescent="0.25">
      <c r="B105" s="117"/>
    </row>
    <row r="106" spans="2:2" x14ac:dyDescent="0.25">
      <c r="B106" s="117"/>
    </row>
    <row r="107" spans="2:2" x14ac:dyDescent="0.25">
      <c r="B107" s="117"/>
    </row>
    <row r="108" spans="2:2" x14ac:dyDescent="0.25">
      <c r="B108" s="117"/>
    </row>
    <row r="109" spans="2:2" x14ac:dyDescent="0.25">
      <c r="B109" s="117"/>
    </row>
    <row r="110" spans="2:2" x14ac:dyDescent="0.25">
      <c r="B110" s="117"/>
    </row>
    <row r="111" spans="2:2" x14ac:dyDescent="0.25">
      <c r="B111" s="117"/>
    </row>
    <row r="112" spans="2:2" x14ac:dyDescent="0.25">
      <c r="B112" s="117"/>
    </row>
    <row r="113" spans="1:2" x14ac:dyDescent="0.25">
      <c r="B113" s="117"/>
    </row>
    <row r="114" spans="1:2" x14ac:dyDescent="0.25">
      <c r="B114" s="117"/>
    </row>
    <row r="115" spans="1:2" x14ac:dyDescent="0.25">
      <c r="B115" s="117"/>
    </row>
    <row r="116" spans="1:2" x14ac:dyDescent="0.25">
      <c r="B116" s="117"/>
    </row>
    <row r="117" spans="1:2" x14ac:dyDescent="0.25">
      <c r="B117" s="117"/>
    </row>
    <row r="118" spans="1:2" x14ac:dyDescent="0.25">
      <c r="B118" s="117"/>
    </row>
    <row r="119" spans="1:2" x14ac:dyDescent="0.25">
      <c r="B119" s="117"/>
    </row>
    <row r="120" spans="1:2" x14ac:dyDescent="0.25">
      <c r="B120" s="117"/>
    </row>
    <row r="121" spans="1:2" x14ac:dyDescent="0.25">
      <c r="B121" s="117"/>
    </row>
    <row r="122" spans="1:2" x14ac:dyDescent="0.25">
      <c r="B122" s="117"/>
    </row>
    <row r="123" spans="1:2" x14ac:dyDescent="0.25">
      <c r="B123" s="117"/>
    </row>
    <row r="124" spans="1:2" x14ac:dyDescent="0.25">
      <c r="B124" s="117"/>
    </row>
    <row r="125" spans="1:2" x14ac:dyDescent="0.25">
      <c r="B125" s="117"/>
    </row>
    <row r="126" spans="1:2" x14ac:dyDescent="0.25">
      <c r="B126" s="117"/>
    </row>
    <row r="127" spans="1:2" x14ac:dyDescent="0.25">
      <c r="B127" s="117"/>
    </row>
    <row r="128" spans="1:2" x14ac:dyDescent="0.25">
      <c r="A128" s="107"/>
    </row>
    <row r="129" spans="1:1" x14ac:dyDescent="0.25">
      <c r="A129" s="107"/>
    </row>
    <row r="130" spans="1:1" x14ac:dyDescent="0.25">
      <c r="A130" s="107"/>
    </row>
    <row r="131" spans="1:1" x14ac:dyDescent="0.25">
      <c r="A131" s="107"/>
    </row>
    <row r="132" spans="1:1" x14ac:dyDescent="0.25">
      <c r="A132" s="107"/>
    </row>
    <row r="133" spans="1:1" x14ac:dyDescent="0.25">
      <c r="A133" s="107"/>
    </row>
    <row r="134" spans="1:1" x14ac:dyDescent="0.25">
      <c r="A134" s="107"/>
    </row>
    <row r="135" spans="1:1" x14ac:dyDescent="0.25">
      <c r="A135" s="107"/>
    </row>
    <row r="136" spans="1:1" x14ac:dyDescent="0.25">
      <c r="A136" s="107"/>
    </row>
    <row r="137" spans="1:1" x14ac:dyDescent="0.25">
      <c r="A137" s="107"/>
    </row>
    <row r="138" spans="1:1" x14ac:dyDescent="0.25">
      <c r="A138" s="107"/>
    </row>
    <row r="139" spans="1:1" x14ac:dyDescent="0.25">
      <c r="A139" s="107"/>
    </row>
    <row r="140" spans="1:1" x14ac:dyDescent="0.25">
      <c r="A140" s="107"/>
    </row>
    <row r="141" spans="1:1" x14ac:dyDescent="0.25">
      <c r="A141" s="107"/>
    </row>
    <row r="142" spans="1:1" x14ac:dyDescent="0.25">
      <c r="A142" s="107"/>
    </row>
    <row r="143" spans="1:1" x14ac:dyDescent="0.25">
      <c r="A143" s="107"/>
    </row>
    <row r="144" spans="1:1" x14ac:dyDescent="0.25">
      <c r="A144" s="107"/>
    </row>
    <row r="145" spans="1:1" x14ac:dyDescent="0.25">
      <c r="A145" s="107"/>
    </row>
    <row r="146" spans="1:1" x14ac:dyDescent="0.25">
      <c r="A146" s="107"/>
    </row>
    <row r="147" spans="1:1" x14ac:dyDescent="0.25">
      <c r="A147" s="107"/>
    </row>
    <row r="148" spans="1:1" x14ac:dyDescent="0.25">
      <c r="A148" s="107"/>
    </row>
    <row r="149" spans="1:1" x14ac:dyDescent="0.25">
      <c r="A149" s="107"/>
    </row>
    <row r="150" spans="1:1" x14ac:dyDescent="0.25">
      <c r="A150" s="107"/>
    </row>
    <row r="151" spans="1:1" x14ac:dyDescent="0.25">
      <c r="A151" s="107"/>
    </row>
    <row r="152" spans="1:1" x14ac:dyDescent="0.25">
      <c r="A152" s="107"/>
    </row>
    <row r="153" spans="1:1" x14ac:dyDescent="0.25">
      <c r="A153" s="107"/>
    </row>
    <row r="154" spans="1:1" x14ac:dyDescent="0.25">
      <c r="A154" s="107"/>
    </row>
    <row r="155" spans="1:1" x14ac:dyDescent="0.25">
      <c r="A155" s="107"/>
    </row>
    <row r="156" spans="1:1" x14ac:dyDescent="0.25">
      <c r="A156" s="107"/>
    </row>
    <row r="157" spans="1:1" x14ac:dyDescent="0.25">
      <c r="A157" s="107"/>
    </row>
    <row r="158" spans="1:1" x14ac:dyDescent="0.25">
      <c r="A158" s="107"/>
    </row>
    <row r="159" spans="1:1" x14ac:dyDescent="0.25">
      <c r="A159" s="107"/>
    </row>
    <row r="160" spans="1:1" x14ac:dyDescent="0.25">
      <c r="A160" s="107"/>
    </row>
    <row r="161" spans="1:1" x14ac:dyDescent="0.25">
      <c r="A161" s="107"/>
    </row>
    <row r="162" spans="1:1" x14ac:dyDescent="0.25">
      <c r="A162" s="107"/>
    </row>
    <row r="163" spans="1:1" x14ac:dyDescent="0.25">
      <c r="A163" s="107"/>
    </row>
    <row r="164" spans="1:1" x14ac:dyDescent="0.25">
      <c r="A164" s="107"/>
    </row>
    <row r="165" spans="1:1" x14ac:dyDescent="0.25">
      <c r="A165" s="107"/>
    </row>
    <row r="166" spans="1:1" x14ac:dyDescent="0.25">
      <c r="A166" s="107"/>
    </row>
    <row r="167" spans="1:1" x14ac:dyDescent="0.25">
      <c r="A167" s="107"/>
    </row>
    <row r="168" spans="1:1" x14ac:dyDescent="0.25">
      <c r="A168" s="107"/>
    </row>
    <row r="169" spans="1:1" x14ac:dyDescent="0.25">
      <c r="A169" s="107"/>
    </row>
    <row r="170" spans="1:1" x14ac:dyDescent="0.25">
      <c r="A170" s="107"/>
    </row>
    <row r="171" spans="1:1" x14ac:dyDescent="0.25">
      <c r="A171" s="107"/>
    </row>
    <row r="172" spans="1:1" x14ac:dyDescent="0.25">
      <c r="A172" s="107"/>
    </row>
    <row r="173" spans="1:1" x14ac:dyDescent="0.25">
      <c r="A173" s="107"/>
    </row>
    <row r="174" spans="1:1" x14ac:dyDescent="0.25">
      <c r="A174" s="107"/>
    </row>
    <row r="175" spans="1:1" x14ac:dyDescent="0.25">
      <c r="A175" s="107"/>
    </row>
    <row r="176" spans="1:1" x14ac:dyDescent="0.25">
      <c r="A176" s="107"/>
    </row>
    <row r="177" spans="1:1" x14ac:dyDescent="0.25">
      <c r="A177" s="107"/>
    </row>
    <row r="178" spans="1:1" x14ac:dyDescent="0.25">
      <c r="A178" s="107"/>
    </row>
    <row r="179" spans="1:1" x14ac:dyDescent="0.25">
      <c r="A179" s="107"/>
    </row>
    <row r="180" spans="1:1" x14ac:dyDescent="0.25">
      <c r="A180" s="107"/>
    </row>
    <row r="181" spans="1:1" x14ac:dyDescent="0.25">
      <c r="A181" s="107"/>
    </row>
    <row r="182" spans="1:1" x14ac:dyDescent="0.25">
      <c r="A182" s="107"/>
    </row>
    <row r="183" spans="1:1" x14ac:dyDescent="0.25">
      <c r="A183" s="107"/>
    </row>
    <row r="184" spans="1:1" x14ac:dyDescent="0.25">
      <c r="A184" s="107"/>
    </row>
    <row r="185" spans="1:1" x14ac:dyDescent="0.25">
      <c r="A185" s="107"/>
    </row>
    <row r="186" spans="1:1" x14ac:dyDescent="0.25">
      <c r="A186" s="107"/>
    </row>
    <row r="187" spans="1:1" x14ac:dyDescent="0.25">
      <c r="A187" s="107"/>
    </row>
    <row r="188" spans="1:1" x14ac:dyDescent="0.25">
      <c r="A188" s="107"/>
    </row>
    <row r="189" spans="1:1" x14ac:dyDescent="0.25">
      <c r="A189" s="107"/>
    </row>
    <row r="190" spans="1:1" x14ac:dyDescent="0.25">
      <c r="A190" s="107"/>
    </row>
    <row r="191" spans="1:1" x14ac:dyDescent="0.25">
      <c r="A191" s="107"/>
    </row>
    <row r="192" spans="1:1" x14ac:dyDescent="0.25">
      <c r="A192" s="107"/>
    </row>
    <row r="193" spans="1:1" x14ac:dyDescent="0.25">
      <c r="A193" s="107"/>
    </row>
    <row r="194" spans="1:1" x14ac:dyDescent="0.25">
      <c r="A194" s="107"/>
    </row>
    <row r="195" spans="1:1" x14ac:dyDescent="0.25">
      <c r="A195" s="107"/>
    </row>
    <row r="196" spans="1:1" x14ac:dyDescent="0.25">
      <c r="A196" s="107"/>
    </row>
    <row r="197" spans="1:1" x14ac:dyDescent="0.25">
      <c r="A197" s="107"/>
    </row>
    <row r="198" spans="1:1" x14ac:dyDescent="0.25">
      <c r="A198" s="107"/>
    </row>
    <row r="199" spans="1:1" x14ac:dyDescent="0.25">
      <c r="A199" s="107"/>
    </row>
    <row r="200" spans="1:1" x14ac:dyDescent="0.25">
      <c r="A200" s="107"/>
    </row>
    <row r="201" spans="1:1" x14ac:dyDescent="0.25">
      <c r="A201" s="107"/>
    </row>
    <row r="202" spans="1:1" x14ac:dyDescent="0.25">
      <c r="A202" s="107"/>
    </row>
    <row r="203" spans="1:1" x14ac:dyDescent="0.25">
      <c r="A203" s="107"/>
    </row>
    <row r="204" spans="1:1" x14ac:dyDescent="0.25">
      <c r="A204" s="107"/>
    </row>
    <row r="205" spans="1:1" x14ac:dyDescent="0.25">
      <c r="A205" s="107"/>
    </row>
    <row r="206" spans="1:1" x14ac:dyDescent="0.25">
      <c r="A206" s="107"/>
    </row>
    <row r="207" spans="1:1" x14ac:dyDescent="0.25">
      <c r="A207" s="107"/>
    </row>
    <row r="208" spans="1:1" x14ac:dyDescent="0.25">
      <c r="A208" s="107"/>
    </row>
    <row r="209" spans="1:1" x14ac:dyDescent="0.25">
      <c r="A209" s="107"/>
    </row>
    <row r="210" spans="1:1" x14ac:dyDescent="0.25">
      <c r="A210" s="107"/>
    </row>
    <row r="211" spans="1:1" x14ac:dyDescent="0.25">
      <c r="A211" s="107"/>
    </row>
    <row r="212" spans="1:1" x14ac:dyDescent="0.25">
      <c r="A212" s="107"/>
    </row>
    <row r="213" spans="1:1" x14ac:dyDescent="0.25">
      <c r="A213" s="107"/>
    </row>
    <row r="214" spans="1:1" x14ac:dyDescent="0.25">
      <c r="A214" s="107"/>
    </row>
    <row r="215" spans="1:1" x14ac:dyDescent="0.25">
      <c r="A215" s="107"/>
    </row>
    <row r="216" spans="1:1" x14ac:dyDescent="0.25">
      <c r="A216" s="107"/>
    </row>
    <row r="217" spans="1:1" x14ac:dyDescent="0.25">
      <c r="A217" s="107"/>
    </row>
    <row r="218" spans="1:1" x14ac:dyDescent="0.25">
      <c r="A218" s="107"/>
    </row>
    <row r="219" spans="1:1" x14ac:dyDescent="0.25">
      <c r="A219" s="107"/>
    </row>
    <row r="220" spans="1:1" x14ac:dyDescent="0.25">
      <c r="A220" s="107"/>
    </row>
    <row r="221" spans="1:1" x14ac:dyDescent="0.25">
      <c r="A221" s="107"/>
    </row>
    <row r="222" spans="1:1" x14ac:dyDescent="0.25">
      <c r="A222" s="107"/>
    </row>
    <row r="223" spans="1:1" x14ac:dyDescent="0.25">
      <c r="A223" s="107"/>
    </row>
    <row r="224" spans="1:1" x14ac:dyDescent="0.25">
      <c r="A224" s="107"/>
    </row>
    <row r="225" spans="1:1" x14ac:dyDescent="0.25">
      <c r="A225" s="107"/>
    </row>
    <row r="226" spans="1:1" x14ac:dyDescent="0.25">
      <c r="A226" s="107"/>
    </row>
    <row r="227" spans="1:1" x14ac:dyDescent="0.25">
      <c r="A227" s="107"/>
    </row>
    <row r="228" spans="1:1" x14ac:dyDescent="0.25">
      <c r="A228" s="107"/>
    </row>
    <row r="229" spans="1:1" x14ac:dyDescent="0.25">
      <c r="A229" s="107"/>
    </row>
    <row r="230" spans="1:1" x14ac:dyDescent="0.25">
      <c r="A230" s="107"/>
    </row>
    <row r="231" spans="1:1" x14ac:dyDescent="0.25">
      <c r="A231" s="107"/>
    </row>
    <row r="232" spans="1:1" x14ac:dyDescent="0.25">
      <c r="A232" s="107"/>
    </row>
    <row r="233" spans="1:1" x14ac:dyDescent="0.25">
      <c r="A233" s="107"/>
    </row>
    <row r="234" spans="1:1" x14ac:dyDescent="0.25">
      <c r="A234" s="107"/>
    </row>
    <row r="235" spans="1:1" x14ac:dyDescent="0.25">
      <c r="A235" s="107"/>
    </row>
    <row r="236" spans="1:1" x14ac:dyDescent="0.25">
      <c r="A236" s="107"/>
    </row>
    <row r="237" spans="1:1" x14ac:dyDescent="0.25">
      <c r="A237" s="107"/>
    </row>
    <row r="238" spans="1:1" x14ac:dyDescent="0.25">
      <c r="A238" s="107"/>
    </row>
    <row r="239" spans="1:1" x14ac:dyDescent="0.25">
      <c r="A239" s="107"/>
    </row>
    <row r="240" spans="1:1" x14ac:dyDescent="0.25">
      <c r="A240" s="107"/>
    </row>
    <row r="241" spans="1:1" x14ac:dyDescent="0.25">
      <c r="A241" s="107"/>
    </row>
    <row r="242" spans="1:1" x14ac:dyDescent="0.25">
      <c r="A242" s="107"/>
    </row>
    <row r="243" spans="1:1" x14ac:dyDescent="0.25">
      <c r="A243" s="107"/>
    </row>
    <row r="244" spans="1:1" x14ac:dyDescent="0.25">
      <c r="A244" s="107"/>
    </row>
    <row r="245" spans="1:1" x14ac:dyDescent="0.25">
      <c r="A245" s="107"/>
    </row>
    <row r="246" spans="1:1" x14ac:dyDescent="0.25">
      <c r="A246" s="107"/>
    </row>
    <row r="247" spans="1:1" x14ac:dyDescent="0.25">
      <c r="A247" s="107"/>
    </row>
    <row r="248" spans="1:1" x14ac:dyDescent="0.25">
      <c r="A248" s="107"/>
    </row>
    <row r="249" spans="1:1" x14ac:dyDescent="0.25">
      <c r="A249" s="107"/>
    </row>
    <row r="250" spans="1:1" x14ac:dyDescent="0.25">
      <c r="A250" s="107"/>
    </row>
    <row r="251" spans="1:1" x14ac:dyDescent="0.25">
      <c r="A251" s="107"/>
    </row>
    <row r="252" spans="1:1" x14ac:dyDescent="0.25">
      <c r="A252" s="107"/>
    </row>
    <row r="253" spans="1:1" x14ac:dyDescent="0.25">
      <c r="A253" s="107"/>
    </row>
    <row r="254" spans="1:1" x14ac:dyDescent="0.25">
      <c r="A254" s="107"/>
    </row>
    <row r="255" spans="1:1" x14ac:dyDescent="0.25">
      <c r="A255" s="107"/>
    </row>
    <row r="256" spans="1:1" x14ac:dyDescent="0.25">
      <c r="A256" s="107"/>
    </row>
    <row r="257" spans="1:1" x14ac:dyDescent="0.25">
      <c r="A257" s="107"/>
    </row>
    <row r="258" spans="1:1" x14ac:dyDescent="0.25">
      <c r="A258" s="107"/>
    </row>
    <row r="259" spans="1:1" x14ac:dyDescent="0.25">
      <c r="A259" s="107"/>
    </row>
    <row r="260" spans="1:1" x14ac:dyDescent="0.25">
      <c r="A260" s="107"/>
    </row>
    <row r="261" spans="1:1" x14ac:dyDescent="0.25">
      <c r="A261" s="107"/>
    </row>
    <row r="262" spans="1:1" x14ac:dyDescent="0.25">
      <c r="A262" s="107"/>
    </row>
    <row r="263" spans="1:1" x14ac:dyDescent="0.25">
      <c r="A263" s="107"/>
    </row>
    <row r="264" spans="1:1" x14ac:dyDescent="0.25">
      <c r="A264" s="107"/>
    </row>
    <row r="265" spans="1:1" x14ac:dyDescent="0.25">
      <c r="A265" s="107"/>
    </row>
    <row r="266" spans="1:1" x14ac:dyDescent="0.25">
      <c r="A266" s="107"/>
    </row>
    <row r="267" spans="1:1" x14ac:dyDescent="0.25">
      <c r="A267" s="107"/>
    </row>
    <row r="268" spans="1:1" x14ac:dyDescent="0.25">
      <c r="A268" s="107"/>
    </row>
    <row r="269" spans="1:1" x14ac:dyDescent="0.25">
      <c r="A269" s="107"/>
    </row>
    <row r="270" spans="1:1" x14ac:dyDescent="0.25">
      <c r="A270" s="107"/>
    </row>
    <row r="271" spans="1:1" x14ac:dyDescent="0.25">
      <c r="A271" s="107"/>
    </row>
    <row r="272" spans="1:1" x14ac:dyDescent="0.25">
      <c r="A272" s="107"/>
    </row>
    <row r="273" spans="1:1" x14ac:dyDescent="0.25">
      <c r="A273" s="107"/>
    </row>
    <row r="274" spans="1:1" x14ac:dyDescent="0.25">
      <c r="A274" s="107"/>
    </row>
    <row r="275" spans="1:1" x14ac:dyDescent="0.25">
      <c r="A275" s="107"/>
    </row>
    <row r="276" spans="1:1" x14ac:dyDescent="0.25">
      <c r="A276" s="107"/>
    </row>
    <row r="277" spans="1:1" x14ac:dyDescent="0.25">
      <c r="A277" s="107"/>
    </row>
    <row r="278" spans="1:1" x14ac:dyDescent="0.25">
      <c r="A278" s="107"/>
    </row>
    <row r="279" spans="1:1" x14ac:dyDescent="0.25">
      <c r="A279" s="107"/>
    </row>
    <row r="280" spans="1:1" x14ac:dyDescent="0.25">
      <c r="A280" s="107"/>
    </row>
    <row r="281" spans="1:1" x14ac:dyDescent="0.25">
      <c r="A281" s="107"/>
    </row>
    <row r="282" spans="1:1" x14ac:dyDescent="0.25">
      <c r="A282" s="107"/>
    </row>
    <row r="283" spans="1:1" x14ac:dyDescent="0.25">
      <c r="A283" s="107"/>
    </row>
    <row r="284" spans="1:1" x14ac:dyDescent="0.25">
      <c r="A284" s="107"/>
    </row>
    <row r="285" spans="1:1" x14ac:dyDescent="0.25">
      <c r="A285" s="107"/>
    </row>
    <row r="286" spans="1:1" x14ac:dyDescent="0.25">
      <c r="A286" s="107"/>
    </row>
    <row r="287" spans="1:1" x14ac:dyDescent="0.25">
      <c r="A287" s="107"/>
    </row>
    <row r="288" spans="1:1" x14ac:dyDescent="0.25">
      <c r="A288" s="107"/>
    </row>
    <row r="289" spans="1:1" x14ac:dyDescent="0.25">
      <c r="A289" s="107"/>
    </row>
    <row r="290" spans="1:1" x14ac:dyDescent="0.25">
      <c r="A290" s="107"/>
    </row>
    <row r="291" spans="1:1" x14ac:dyDescent="0.25">
      <c r="A291" s="107"/>
    </row>
    <row r="292" spans="1:1" x14ac:dyDescent="0.25">
      <c r="A292" s="107"/>
    </row>
    <row r="293" spans="1:1" x14ac:dyDescent="0.25">
      <c r="A293" s="107"/>
    </row>
    <row r="294" spans="1:1" x14ac:dyDescent="0.25">
      <c r="A294" s="107"/>
    </row>
    <row r="295" spans="1:1" x14ac:dyDescent="0.25">
      <c r="A295" s="107"/>
    </row>
    <row r="296" spans="1:1" x14ac:dyDescent="0.25">
      <c r="A296" s="107"/>
    </row>
    <row r="297" spans="1:1" x14ac:dyDescent="0.25">
      <c r="A297" s="107"/>
    </row>
    <row r="298" spans="1:1" x14ac:dyDescent="0.25">
      <c r="A298" s="107"/>
    </row>
    <row r="299" spans="1:1" x14ac:dyDescent="0.25">
      <c r="A299" s="107"/>
    </row>
    <row r="300" spans="1:1" x14ac:dyDescent="0.25">
      <c r="A300" s="107"/>
    </row>
    <row r="301" spans="1:1" x14ac:dyDescent="0.25">
      <c r="A301" s="107"/>
    </row>
    <row r="302" spans="1:1" x14ac:dyDescent="0.25">
      <c r="A302" s="107"/>
    </row>
    <row r="303" spans="1:1" x14ac:dyDescent="0.25">
      <c r="A303" s="107"/>
    </row>
    <row r="304" spans="1:1" x14ac:dyDescent="0.25">
      <c r="A304" s="107"/>
    </row>
    <row r="305" spans="1:1" x14ac:dyDescent="0.25">
      <c r="A305" s="107"/>
    </row>
    <row r="306" spans="1:1" x14ac:dyDescent="0.25">
      <c r="A306" s="107"/>
    </row>
    <row r="307" spans="1:1" x14ac:dyDescent="0.25">
      <c r="A307" s="107"/>
    </row>
    <row r="308" spans="1:1" x14ac:dyDescent="0.25">
      <c r="A308" s="107"/>
    </row>
    <row r="309" spans="1:1" x14ac:dyDescent="0.25">
      <c r="A309" s="107"/>
    </row>
    <row r="310" spans="1:1" x14ac:dyDescent="0.25">
      <c r="A310" s="107"/>
    </row>
    <row r="311" spans="1:1" x14ac:dyDescent="0.25">
      <c r="A311" s="107"/>
    </row>
    <row r="312" spans="1:1" x14ac:dyDescent="0.25">
      <c r="A312" s="107"/>
    </row>
    <row r="313" spans="1:1" x14ac:dyDescent="0.25">
      <c r="A313" s="107"/>
    </row>
    <row r="314" spans="1:1" x14ac:dyDescent="0.25">
      <c r="A314" s="107"/>
    </row>
    <row r="315" spans="1:1" x14ac:dyDescent="0.25">
      <c r="A315" s="107"/>
    </row>
    <row r="316" spans="1:1" x14ac:dyDescent="0.25">
      <c r="A316" s="107"/>
    </row>
    <row r="317" spans="1:1" x14ac:dyDescent="0.25">
      <c r="A317" s="107"/>
    </row>
    <row r="318" spans="1:1" x14ac:dyDescent="0.25">
      <c r="A318" s="107"/>
    </row>
    <row r="319" spans="1:1" x14ac:dyDescent="0.25">
      <c r="A319" s="107"/>
    </row>
    <row r="320" spans="1:1" x14ac:dyDescent="0.25">
      <c r="A320" s="107"/>
    </row>
    <row r="321" spans="1:1" x14ac:dyDescent="0.25">
      <c r="A321" s="107"/>
    </row>
    <row r="322" spans="1:1" x14ac:dyDescent="0.25">
      <c r="A322" s="107"/>
    </row>
    <row r="323" spans="1:1" x14ac:dyDescent="0.25">
      <c r="A323" s="107"/>
    </row>
    <row r="324" spans="1:1" x14ac:dyDescent="0.25">
      <c r="A324" s="107"/>
    </row>
    <row r="325" spans="1:1" x14ac:dyDescent="0.25">
      <c r="A325" s="107"/>
    </row>
    <row r="326" spans="1:1" x14ac:dyDescent="0.25">
      <c r="A326" s="107"/>
    </row>
    <row r="327" spans="1:1" x14ac:dyDescent="0.25">
      <c r="A327" s="107"/>
    </row>
    <row r="328" spans="1:1" x14ac:dyDescent="0.25">
      <c r="A328" s="107"/>
    </row>
    <row r="329" spans="1:1" x14ac:dyDescent="0.25">
      <c r="A329" s="107"/>
    </row>
    <row r="330" spans="1:1" x14ac:dyDescent="0.25">
      <c r="A330" s="107"/>
    </row>
    <row r="331" spans="1:1" x14ac:dyDescent="0.25">
      <c r="A331" s="107"/>
    </row>
    <row r="332" spans="1:1" x14ac:dyDescent="0.25">
      <c r="A332" s="107"/>
    </row>
    <row r="333" spans="1:1" x14ac:dyDescent="0.25">
      <c r="A333" s="107"/>
    </row>
    <row r="334" spans="1:1" x14ac:dyDescent="0.25">
      <c r="A334" s="107"/>
    </row>
    <row r="335" spans="1:1" x14ac:dyDescent="0.25">
      <c r="A335" s="107"/>
    </row>
    <row r="336" spans="1:1" x14ac:dyDescent="0.25">
      <c r="A336" s="107"/>
    </row>
    <row r="337" spans="1:1" x14ac:dyDescent="0.25">
      <c r="A337" s="107"/>
    </row>
    <row r="338" spans="1:1" x14ac:dyDescent="0.25">
      <c r="A338" s="107"/>
    </row>
    <row r="339" spans="1:1" x14ac:dyDescent="0.25">
      <c r="A339" s="107"/>
    </row>
    <row r="340" spans="1:1" x14ac:dyDescent="0.25">
      <c r="A340" s="107"/>
    </row>
    <row r="341" spans="1:1" x14ac:dyDescent="0.25">
      <c r="A341" s="107"/>
    </row>
    <row r="342" spans="1:1" x14ac:dyDescent="0.25">
      <c r="A342" s="107"/>
    </row>
    <row r="343" spans="1:1" x14ac:dyDescent="0.25">
      <c r="A343" s="107"/>
    </row>
    <row r="344" spans="1:1" x14ac:dyDescent="0.25">
      <c r="A344" s="107"/>
    </row>
    <row r="345" spans="1:1" x14ac:dyDescent="0.25">
      <c r="A345" s="107"/>
    </row>
    <row r="346" spans="1:1" x14ac:dyDescent="0.25">
      <c r="A346" s="107"/>
    </row>
    <row r="347" spans="1:1" x14ac:dyDescent="0.25">
      <c r="A347" s="107"/>
    </row>
    <row r="348" spans="1:1" x14ac:dyDescent="0.25">
      <c r="A348" s="107"/>
    </row>
    <row r="349" spans="1:1" x14ac:dyDescent="0.25">
      <c r="A349" s="107"/>
    </row>
    <row r="350" spans="1:1" x14ac:dyDescent="0.25">
      <c r="A350" s="107"/>
    </row>
    <row r="351" spans="1:1" x14ac:dyDescent="0.25">
      <c r="A351" s="107"/>
    </row>
    <row r="352" spans="1:1" x14ac:dyDescent="0.25">
      <c r="A352" s="107"/>
    </row>
    <row r="353" spans="1:1" x14ac:dyDescent="0.25">
      <c r="A353" s="107"/>
    </row>
    <row r="354" spans="1:1" x14ac:dyDescent="0.25">
      <c r="A354" s="107"/>
    </row>
    <row r="355" spans="1:1" x14ac:dyDescent="0.25">
      <c r="A355" s="107"/>
    </row>
    <row r="356" spans="1:1" x14ac:dyDescent="0.25">
      <c r="A356" s="107"/>
    </row>
    <row r="357" spans="1:1" x14ac:dyDescent="0.25">
      <c r="A357" s="107"/>
    </row>
    <row r="358" spans="1:1" x14ac:dyDescent="0.25">
      <c r="A358" s="107"/>
    </row>
    <row r="359" spans="1:1" x14ac:dyDescent="0.25">
      <c r="A359" s="107"/>
    </row>
    <row r="360" spans="1:1" x14ac:dyDescent="0.25">
      <c r="A360" s="107"/>
    </row>
    <row r="361" spans="1:1" x14ac:dyDescent="0.25">
      <c r="A361" s="107"/>
    </row>
    <row r="362" spans="1:1" x14ac:dyDescent="0.25">
      <c r="A362" s="107"/>
    </row>
    <row r="363" spans="1:1" x14ac:dyDescent="0.25">
      <c r="A363" s="107"/>
    </row>
    <row r="364" spans="1:1" x14ac:dyDescent="0.25">
      <c r="A364" s="107"/>
    </row>
    <row r="365" spans="1:1" x14ac:dyDescent="0.25">
      <c r="A365" s="107"/>
    </row>
    <row r="366" spans="1:1" x14ac:dyDescent="0.25">
      <c r="A366" s="107"/>
    </row>
    <row r="367" spans="1:1" x14ac:dyDescent="0.25">
      <c r="A367" s="107"/>
    </row>
    <row r="368" spans="1:1" x14ac:dyDescent="0.25">
      <c r="A368" s="107"/>
    </row>
    <row r="369" spans="1:1" x14ac:dyDescent="0.25">
      <c r="A369" s="107"/>
    </row>
    <row r="370" spans="1:1" x14ac:dyDescent="0.25">
      <c r="A370" s="107"/>
    </row>
    <row r="371" spans="1:1" x14ac:dyDescent="0.25">
      <c r="A371" s="107"/>
    </row>
    <row r="372" spans="1:1" x14ac:dyDescent="0.25">
      <c r="A372" s="107"/>
    </row>
    <row r="373" spans="1:1" x14ac:dyDescent="0.25">
      <c r="A373" s="107"/>
    </row>
    <row r="374" spans="1:1" x14ac:dyDescent="0.25">
      <c r="A374" s="107"/>
    </row>
    <row r="375" spans="1:1" x14ac:dyDescent="0.25">
      <c r="A375" s="107"/>
    </row>
    <row r="376" spans="1:1" x14ac:dyDescent="0.25">
      <c r="A376" s="107"/>
    </row>
    <row r="377" spans="1:1" x14ac:dyDescent="0.25">
      <c r="A377" s="107"/>
    </row>
    <row r="378" spans="1:1" x14ac:dyDescent="0.25">
      <c r="A378" s="107"/>
    </row>
    <row r="379" spans="1:1" x14ac:dyDescent="0.25">
      <c r="A379" s="107"/>
    </row>
    <row r="380" spans="1:1" x14ac:dyDescent="0.25">
      <c r="A380" s="107"/>
    </row>
    <row r="381" spans="1:1" x14ac:dyDescent="0.25">
      <c r="A381" s="107"/>
    </row>
    <row r="382" spans="1:1" x14ac:dyDescent="0.25">
      <c r="A382" s="107"/>
    </row>
    <row r="383" spans="1:1" x14ac:dyDescent="0.25">
      <c r="A383" s="107"/>
    </row>
    <row r="384" spans="1:1" x14ac:dyDescent="0.25">
      <c r="A384" s="107"/>
    </row>
    <row r="385" spans="1:1" x14ac:dyDescent="0.25">
      <c r="A385" s="107"/>
    </row>
    <row r="386" spans="1:1" x14ac:dyDescent="0.25">
      <c r="A386" s="107"/>
    </row>
    <row r="387" spans="1:1" x14ac:dyDescent="0.25">
      <c r="A387" s="107"/>
    </row>
    <row r="388" spans="1:1" x14ac:dyDescent="0.25">
      <c r="A388" s="107"/>
    </row>
    <row r="389" spans="1:1" x14ac:dyDescent="0.25">
      <c r="A389" s="107"/>
    </row>
    <row r="390" spans="1:1" x14ac:dyDescent="0.25">
      <c r="A390" s="107"/>
    </row>
    <row r="391" spans="1:1" x14ac:dyDescent="0.25">
      <c r="A391" s="107"/>
    </row>
    <row r="392" spans="1:1" x14ac:dyDescent="0.25">
      <c r="A392" s="107"/>
    </row>
    <row r="393" spans="1:1" x14ac:dyDescent="0.25">
      <c r="A393" s="107"/>
    </row>
    <row r="394" spans="1:1" x14ac:dyDescent="0.25">
      <c r="A394" s="107"/>
    </row>
    <row r="395" spans="1:1" x14ac:dyDescent="0.25">
      <c r="A395" s="107"/>
    </row>
    <row r="396" spans="1:1" x14ac:dyDescent="0.25">
      <c r="A396" s="107"/>
    </row>
    <row r="397" spans="1:1" x14ac:dyDescent="0.25">
      <c r="A397" s="107"/>
    </row>
    <row r="398" spans="1:1" x14ac:dyDescent="0.25">
      <c r="A398" s="107"/>
    </row>
    <row r="399" spans="1:1" x14ac:dyDescent="0.25">
      <c r="A399" s="107"/>
    </row>
    <row r="400" spans="1:1" x14ac:dyDescent="0.25">
      <c r="A400" s="107"/>
    </row>
    <row r="401" spans="1:1" x14ac:dyDescent="0.25">
      <c r="A401" s="107"/>
    </row>
    <row r="402" spans="1:1" x14ac:dyDescent="0.25">
      <c r="A402" s="107"/>
    </row>
    <row r="403" spans="1:1" x14ac:dyDescent="0.25">
      <c r="A403" s="107"/>
    </row>
    <row r="404" spans="1:1" x14ac:dyDescent="0.25">
      <c r="A404" s="107"/>
    </row>
    <row r="405" spans="1:1" x14ac:dyDescent="0.25">
      <c r="A405" s="107"/>
    </row>
    <row r="406" spans="1:1" x14ac:dyDescent="0.25">
      <c r="A406" s="107"/>
    </row>
    <row r="407" spans="1:1" x14ac:dyDescent="0.25">
      <c r="A407" s="107"/>
    </row>
    <row r="408" spans="1:1" x14ac:dyDescent="0.25">
      <c r="A408" s="107"/>
    </row>
    <row r="409" spans="1:1" x14ac:dyDescent="0.25">
      <c r="A409" s="107"/>
    </row>
    <row r="410" spans="1:1" x14ac:dyDescent="0.25">
      <c r="A410" s="107"/>
    </row>
    <row r="411" spans="1:1" x14ac:dyDescent="0.25">
      <c r="A411" s="107"/>
    </row>
    <row r="412" spans="1:1" x14ac:dyDescent="0.25">
      <c r="A412" s="107"/>
    </row>
    <row r="413" spans="1:1" x14ac:dyDescent="0.25">
      <c r="A413" s="107"/>
    </row>
    <row r="414" spans="1:1" x14ac:dyDescent="0.25">
      <c r="A414" s="107"/>
    </row>
    <row r="415" spans="1:1" x14ac:dyDescent="0.25">
      <c r="A415" s="107"/>
    </row>
    <row r="416" spans="1:1" x14ac:dyDescent="0.25">
      <c r="A416" s="107"/>
    </row>
    <row r="417" spans="1:1" x14ac:dyDescent="0.25">
      <c r="A417" s="107"/>
    </row>
    <row r="418" spans="1:1" x14ac:dyDescent="0.25">
      <c r="A418" s="107"/>
    </row>
    <row r="419" spans="1:1" x14ac:dyDescent="0.25">
      <c r="A419" s="107"/>
    </row>
    <row r="490" spans="1:1" x14ac:dyDescent="0.25">
      <c r="A490" s="10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Resumen</vt:lpstr>
      <vt:lpstr>VDF A</vt:lpstr>
      <vt:lpstr>VDF B</vt:lpstr>
      <vt:lpstr>BADLAR</vt:lpstr>
      <vt:lpstr>'VDF A'!Área_de_impresión</vt:lpstr>
      <vt:lpstr>'VDF B'!Área_de_impresión</vt:lpstr>
    </vt:vector>
  </TitlesOfParts>
  <Company>Deloitte Touche Tohmatsu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Damián A. Benfatto</dc:creator>
  <cp:lastModifiedBy>Mauro Jorge Zambon</cp:lastModifiedBy>
  <cp:lastPrinted>2015-12-14T20:28:41Z</cp:lastPrinted>
  <dcterms:created xsi:type="dcterms:W3CDTF">2012-12-12T12:41:29Z</dcterms:created>
  <dcterms:modified xsi:type="dcterms:W3CDTF">2022-04-28T14:44:12Z</dcterms:modified>
</cp:coreProperties>
</file>