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TARJETA FERTIL\FF FERTIL 20\Difusión\"/>
    </mc:Choice>
  </mc:AlternateContent>
  <bookViews>
    <workbookView xWindow="-120" yWindow="-120" windowWidth="20730" windowHeight="11160"/>
  </bookViews>
  <sheets>
    <sheet name="VDFA" sheetId="1" r:id="rId1"/>
    <sheet name="VDFB" sheetId="6" r:id="rId2"/>
    <sheet name="VDFC" sheetId="7" r:id="rId3"/>
  </sheets>
  <definedNames>
    <definedName name="_xlnm.Print_Area" localSheetId="0">VDFA!$A$1:$K$47</definedName>
    <definedName name="_xlnm.Print_Area" localSheetId="1">VDFB!$A$1:$K$47</definedName>
    <definedName name="_xlnm.Print_Area" localSheetId="2">VDFC!$A$1:$K$47</definedName>
    <definedName name="CIQWBGuid" hidden="1">"80f2eb11-a69f-4789-a224-c3bac53b2011"</definedName>
    <definedName name="Print_Area" localSheetId="0">VDFA!$A$1:$K$46</definedName>
    <definedName name="Print_Area" localSheetId="1">VDFB!$A$1:$K$46</definedName>
    <definedName name="Print_Area" localSheetId="2">VDFC!$A$1:$K$46</definedName>
  </definedNames>
  <calcPr calcId="162913" iterate="1" iterateCount="12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Q18" i="1" l="1"/>
  <c r="F8" i="6"/>
  <c r="C16" i="6" s="1"/>
  <c r="E28" i="6"/>
  <c r="E29" i="6"/>
  <c r="Q11" i="6"/>
  <c r="I7" i="6"/>
  <c r="I7" i="7"/>
  <c r="C16" i="1"/>
  <c r="M17" i="1" s="1"/>
  <c r="D17" i="1" s="1"/>
  <c r="E17" i="1"/>
  <c r="E18" i="1"/>
  <c r="E19" i="1"/>
  <c r="E20" i="1"/>
  <c r="E21" i="1"/>
  <c r="E22" i="1"/>
  <c r="M23" i="1"/>
  <c r="D23" i="1" s="1"/>
  <c r="E23" i="1"/>
  <c r="E24" i="1"/>
  <c r="M25" i="1"/>
  <c r="D25" i="1" s="1"/>
  <c r="E25" i="1"/>
  <c r="E26" i="1"/>
  <c r="E27" i="1"/>
  <c r="Q11" i="1"/>
  <c r="J16" i="1"/>
  <c r="H17" i="1" s="1"/>
  <c r="G17" i="1"/>
  <c r="G18" i="1"/>
  <c r="G19" i="1"/>
  <c r="G20" i="1"/>
  <c r="G21" i="1"/>
  <c r="G22" i="1"/>
  <c r="G23" i="1"/>
  <c r="G24" i="1"/>
  <c r="G25" i="1"/>
  <c r="G26" i="1"/>
  <c r="G27" i="1"/>
  <c r="F7" i="7"/>
  <c r="J16" i="7"/>
  <c r="G17" i="7"/>
  <c r="G18" i="7"/>
  <c r="G19" i="7"/>
  <c r="G20" i="7"/>
  <c r="G21" i="7"/>
  <c r="G22" i="7"/>
  <c r="G23" i="7"/>
  <c r="G24" i="7"/>
  <c r="G25" i="7"/>
  <c r="G26" i="7"/>
  <c r="G27" i="7"/>
  <c r="G28" i="7"/>
  <c r="G29" i="7"/>
  <c r="E30" i="7"/>
  <c r="G30" i="7"/>
  <c r="F8" i="7"/>
  <c r="C16" i="7" s="1"/>
  <c r="I17" i="7"/>
  <c r="I18" i="7"/>
  <c r="I19" i="7"/>
  <c r="I20" i="7"/>
  <c r="I21" i="7"/>
  <c r="I22" i="7"/>
  <c r="I23" i="7"/>
  <c r="I24" i="7"/>
  <c r="I25" i="7"/>
  <c r="I26" i="7"/>
  <c r="I27" i="7"/>
  <c r="I28" i="7"/>
  <c r="I29" i="7"/>
  <c r="E31" i="7"/>
  <c r="G31" i="7"/>
  <c r="E32" i="7"/>
  <c r="G32" i="7"/>
  <c r="E33" i="7"/>
  <c r="G33" i="7"/>
  <c r="E34" i="7"/>
  <c r="G34" i="7"/>
  <c r="E35" i="7"/>
  <c r="G35" i="7"/>
  <c r="E36" i="7"/>
  <c r="G36" i="7"/>
  <c r="E37" i="7"/>
  <c r="G37" i="7"/>
  <c r="E38" i="7"/>
  <c r="G38" i="7"/>
  <c r="F7" i="6"/>
  <c r="J16" i="6"/>
  <c r="G17" i="6"/>
  <c r="J17" i="6"/>
  <c r="G18" i="6"/>
  <c r="G19" i="6"/>
  <c r="G20" i="6"/>
  <c r="G21" i="6"/>
  <c r="G22" i="6"/>
  <c r="G23" i="6"/>
  <c r="G24" i="6"/>
  <c r="G25" i="6"/>
  <c r="G26" i="6"/>
  <c r="G27" i="6"/>
  <c r="G28" i="6"/>
  <c r="I17" i="6"/>
  <c r="I18" i="6"/>
  <c r="I19" i="6"/>
  <c r="I20" i="6"/>
  <c r="I21" i="6"/>
  <c r="I22" i="6"/>
  <c r="I23" i="6"/>
  <c r="I24" i="6"/>
  <c r="I25" i="6"/>
  <c r="I26" i="6"/>
  <c r="I27" i="6"/>
  <c r="G29" i="6"/>
  <c r="Q11" i="7"/>
  <c r="F39" i="7"/>
  <c r="E29" i="7"/>
  <c r="E28" i="7"/>
  <c r="E27" i="7"/>
  <c r="E26" i="7"/>
  <c r="E25" i="7"/>
  <c r="E24" i="7"/>
  <c r="E23" i="7"/>
  <c r="E22" i="7"/>
  <c r="E21" i="7"/>
  <c r="E20" i="7"/>
  <c r="E19" i="7"/>
  <c r="E18" i="7"/>
  <c r="E17" i="7"/>
  <c r="F30" i="6"/>
  <c r="E27" i="6"/>
  <c r="E26" i="6"/>
  <c r="E25" i="6"/>
  <c r="E24" i="6"/>
  <c r="E23" i="6"/>
  <c r="E22" i="6"/>
  <c r="E21" i="6"/>
  <c r="E20" i="6"/>
  <c r="E19" i="6"/>
  <c r="E18" i="6"/>
  <c r="E17" i="6"/>
  <c r="F28" i="1"/>
  <c r="M27" i="1" l="1"/>
  <c r="D27" i="1" s="1"/>
  <c r="M19" i="1"/>
  <c r="D19" i="1" s="1"/>
  <c r="M21" i="1"/>
  <c r="D21" i="1" s="1"/>
  <c r="M26" i="1"/>
  <c r="D26" i="1" s="1"/>
  <c r="M24" i="1"/>
  <c r="D24" i="1" s="1"/>
  <c r="M22" i="1"/>
  <c r="D22" i="1" s="1"/>
  <c r="M20" i="1"/>
  <c r="D20" i="1" s="1"/>
  <c r="M18" i="1"/>
  <c r="D18" i="1" s="1"/>
  <c r="J17" i="7"/>
  <c r="J18" i="7" s="1"/>
  <c r="J19" i="7" s="1"/>
  <c r="J20" i="7" s="1"/>
  <c r="J21" i="7" s="1"/>
  <c r="J22" i="7" s="1"/>
  <c r="J23" i="7" s="1"/>
  <c r="J24" i="7" s="1"/>
  <c r="J25" i="7" s="1"/>
  <c r="J26" i="7" s="1"/>
  <c r="J27" i="7" s="1"/>
  <c r="J28" i="7" s="1"/>
  <c r="J29" i="7" s="1"/>
  <c r="G39" i="7"/>
  <c r="G30" i="6"/>
  <c r="J18" i="6"/>
  <c r="J19" i="6" s="1"/>
  <c r="J20" i="6" s="1"/>
  <c r="J21" i="6" s="1"/>
  <c r="J22" i="6" s="1"/>
  <c r="J23" i="6" s="1"/>
  <c r="J24" i="6" s="1"/>
  <c r="J25" i="6" s="1"/>
  <c r="J26" i="6" s="1"/>
  <c r="J27" i="6" s="1"/>
  <c r="J28" i="6" s="1"/>
  <c r="Q17" i="1"/>
  <c r="I17" i="1"/>
  <c r="M28" i="6"/>
  <c r="M17" i="6"/>
  <c r="N17" i="6" s="1"/>
  <c r="M21" i="6"/>
  <c r="N21" i="6" s="1"/>
  <c r="M25" i="6"/>
  <c r="N25" i="6" s="1"/>
  <c r="M20" i="6"/>
  <c r="M18" i="6"/>
  <c r="M22" i="6"/>
  <c r="N22" i="6" s="1"/>
  <c r="M26" i="6"/>
  <c r="N26" i="6" s="1"/>
  <c r="M29" i="6"/>
  <c r="M19" i="6"/>
  <c r="M23" i="6"/>
  <c r="M27" i="6"/>
  <c r="M24" i="6"/>
  <c r="H28" i="6"/>
  <c r="I28" i="6" s="1"/>
  <c r="Q30" i="7"/>
  <c r="J30" i="7"/>
  <c r="H30" i="7"/>
  <c r="M23" i="7"/>
  <c r="M18" i="7"/>
  <c r="M20" i="7"/>
  <c r="N20" i="7" s="1"/>
  <c r="M22" i="7"/>
  <c r="N22" i="7" s="1"/>
  <c r="M24" i="7"/>
  <c r="M26" i="7"/>
  <c r="M28" i="7"/>
  <c r="N28" i="7" s="1"/>
  <c r="M31" i="7"/>
  <c r="M32" i="7"/>
  <c r="M33" i="7"/>
  <c r="M34" i="7"/>
  <c r="M35" i="7"/>
  <c r="M36" i="7"/>
  <c r="M37" i="7"/>
  <c r="M38" i="7"/>
  <c r="M19" i="7"/>
  <c r="M27" i="7"/>
  <c r="M30" i="7"/>
  <c r="M17" i="7"/>
  <c r="M25" i="7"/>
  <c r="M21" i="7"/>
  <c r="M29" i="7"/>
  <c r="J17" i="1"/>
  <c r="G28" i="1"/>
  <c r="Q28" i="6" l="1"/>
  <c r="N28" i="6"/>
  <c r="O28" i="6" s="1"/>
  <c r="D36" i="7"/>
  <c r="D24" i="7"/>
  <c r="D24" i="6"/>
  <c r="D20" i="6"/>
  <c r="N25" i="7"/>
  <c r="O25" i="7" s="1"/>
  <c r="D25" i="7"/>
  <c r="D35" i="7"/>
  <c r="D22" i="7"/>
  <c r="O22" i="7"/>
  <c r="D27" i="6"/>
  <c r="N27" i="6"/>
  <c r="O27" i="6" s="1"/>
  <c r="O25" i="6"/>
  <c r="D25" i="6"/>
  <c r="D26" i="7"/>
  <c r="D18" i="6"/>
  <c r="J18" i="1"/>
  <c r="H18" i="1"/>
  <c r="N17" i="7"/>
  <c r="O17" i="7" s="1"/>
  <c r="D17" i="7"/>
  <c r="D34" i="7"/>
  <c r="D20" i="7"/>
  <c r="O20" i="7"/>
  <c r="I30" i="7"/>
  <c r="D23" i="6"/>
  <c r="N23" i="6"/>
  <c r="O23" i="6" s="1"/>
  <c r="D21" i="6"/>
  <c r="O21" i="6"/>
  <c r="D21" i="7"/>
  <c r="N21" i="7"/>
  <c r="O21" i="7" s="1"/>
  <c r="D30" i="7"/>
  <c r="J31" i="7"/>
  <c r="Q31" i="7"/>
  <c r="H31" i="7"/>
  <c r="I31" i="7" s="1"/>
  <c r="N31" i="7" s="1"/>
  <c r="O31" i="7" s="1"/>
  <c r="D19" i="6"/>
  <c r="N19" i="6"/>
  <c r="O19" i="6" s="1"/>
  <c r="D27" i="7"/>
  <c r="N27" i="7"/>
  <c r="O27" i="7" s="1"/>
  <c r="D23" i="7"/>
  <c r="N23" i="7"/>
  <c r="O23" i="7" s="1"/>
  <c r="D29" i="6"/>
  <c r="N26" i="7"/>
  <c r="O26" i="7" s="1"/>
  <c r="D18" i="7"/>
  <c r="D17" i="6"/>
  <c r="O17" i="6"/>
  <c r="N18" i="6"/>
  <c r="D19" i="7"/>
  <c r="N19" i="7"/>
  <c r="O19" i="7" s="1"/>
  <c r="D31" i="7"/>
  <c r="N24" i="7"/>
  <c r="O24" i="7" s="1"/>
  <c r="N20" i="6"/>
  <c r="O20" i="6" s="1"/>
  <c r="O26" i="6"/>
  <c r="D26" i="6"/>
  <c r="D28" i="6"/>
  <c r="D37" i="7"/>
  <c r="D33" i="7"/>
  <c r="N18" i="7"/>
  <c r="O18" i="7" s="1"/>
  <c r="D32" i="7"/>
  <c r="N29" i="7"/>
  <c r="O29" i="7" s="1"/>
  <c r="D29" i="7"/>
  <c r="D38" i="7"/>
  <c r="O28" i="7"/>
  <c r="D28" i="7"/>
  <c r="Q29" i="6"/>
  <c r="Q30" i="6" s="1"/>
  <c r="J29" i="6"/>
  <c r="H29" i="6"/>
  <c r="I29" i="6" s="1"/>
  <c r="N29" i="6" s="1"/>
  <c r="O29" i="6" s="1"/>
  <c r="D22" i="6"/>
  <c r="O22" i="6"/>
  <c r="N24" i="6"/>
  <c r="O24" i="6" s="1"/>
  <c r="N17" i="1"/>
  <c r="N30" i="6" l="1"/>
  <c r="I9" i="6" s="1"/>
  <c r="Q16" i="6" s="1"/>
  <c r="I10" i="6" s="1"/>
  <c r="I11" i="6" s="1"/>
  <c r="J11" i="6" s="1"/>
  <c r="O17" i="1"/>
  <c r="N30" i="7"/>
  <c r="O30" i="7" s="1"/>
  <c r="I18" i="1"/>
  <c r="H19" i="1"/>
  <c r="I19" i="1" s="1"/>
  <c r="N19" i="1" s="1"/>
  <c r="O19" i="1" s="1"/>
  <c r="J19" i="1"/>
  <c r="Q19" i="1"/>
  <c r="O18" i="6"/>
  <c r="O30" i="6" s="1"/>
  <c r="J32" i="7"/>
  <c r="H32" i="7"/>
  <c r="Q32" i="7"/>
  <c r="H30" i="6"/>
  <c r="I30" i="6"/>
  <c r="I13" i="6" l="1"/>
  <c r="N18" i="1"/>
  <c r="I32" i="7"/>
  <c r="J33" i="7"/>
  <c r="Q33" i="7"/>
  <c r="H33" i="7"/>
  <c r="I33" i="7" s="1"/>
  <c r="N33" i="7" s="1"/>
  <c r="O33" i="7" s="1"/>
  <c r="J20" i="1"/>
  <c r="H20" i="1"/>
  <c r="I20" i="1" s="1"/>
  <c r="N20" i="1" s="1"/>
  <c r="O20" i="1" s="1"/>
  <c r="Q20" i="1"/>
  <c r="Q34" i="7" l="1"/>
  <c r="J34" i="7"/>
  <c r="H34" i="7"/>
  <c r="I34" i="7" s="1"/>
  <c r="N34" i="7" s="1"/>
  <c r="O34" i="7" s="1"/>
  <c r="H21" i="1"/>
  <c r="Q21" i="1"/>
  <c r="J21" i="1"/>
  <c r="O18" i="1"/>
  <c r="N32" i="7"/>
  <c r="Q22" i="1" l="1"/>
  <c r="H22" i="1"/>
  <c r="I22" i="1" s="1"/>
  <c r="N22" i="1" s="1"/>
  <c r="O22" i="1" s="1"/>
  <c r="J22" i="1"/>
  <c r="I21" i="1"/>
  <c r="O32" i="7"/>
  <c r="J35" i="7"/>
  <c r="H35" i="7"/>
  <c r="Q35" i="7"/>
  <c r="N21" i="1" l="1"/>
  <c r="J23" i="1"/>
  <c r="Q23" i="1"/>
  <c r="H23" i="1"/>
  <c r="I35" i="7"/>
  <c r="Q36" i="7"/>
  <c r="J36" i="7"/>
  <c r="H36" i="7"/>
  <c r="I36" i="7" s="1"/>
  <c r="N36" i="7" s="1"/>
  <c r="O36" i="7" s="1"/>
  <c r="N35" i="7" l="1"/>
  <c r="Q24" i="1"/>
  <c r="J24" i="1"/>
  <c r="H24" i="1"/>
  <c r="I24" i="1" s="1"/>
  <c r="N24" i="1" s="1"/>
  <c r="O24" i="1" s="1"/>
  <c r="I23" i="1"/>
  <c r="Q37" i="7"/>
  <c r="J37" i="7"/>
  <c r="H37" i="7"/>
  <c r="O21" i="1"/>
  <c r="Q25" i="1" l="1"/>
  <c r="H25" i="1"/>
  <c r="I25" i="1" s="1"/>
  <c r="N25" i="1" s="1"/>
  <c r="O25" i="1" s="1"/>
  <c r="J25" i="1"/>
  <c r="N23" i="1"/>
  <c r="I37" i="7"/>
  <c r="N37" i="7" s="1"/>
  <c r="O37" i="7" s="1"/>
  <c r="Q38" i="7"/>
  <c r="Q39" i="7" s="1"/>
  <c r="J38" i="7"/>
  <c r="H38" i="7"/>
  <c r="I38" i="7" s="1"/>
  <c r="O35" i="7"/>
  <c r="H39" i="7" l="1"/>
  <c r="O23" i="1"/>
  <c r="N38" i="7"/>
  <c r="I39" i="7"/>
  <c r="J26" i="1"/>
  <c r="H26" i="1"/>
  <c r="I26" i="1" s="1"/>
  <c r="N26" i="1" s="1"/>
  <c r="O26" i="1" s="1"/>
  <c r="Q26" i="1"/>
  <c r="H27" i="1" l="1"/>
  <c r="Q27" i="1"/>
  <c r="Q28" i="1" s="1"/>
  <c r="J27" i="1"/>
  <c r="O38" i="7"/>
  <c r="O39" i="7" s="1"/>
  <c r="N39" i="7"/>
  <c r="I9" i="7" s="1"/>
  <c r="Q16" i="7" s="1"/>
  <c r="I10" i="7" s="1"/>
  <c r="I12" i="7" l="1"/>
  <c r="I27" i="1"/>
  <c r="H28" i="1"/>
  <c r="N27" i="1" l="1"/>
  <c r="I28" i="1"/>
  <c r="O27" i="1" l="1"/>
  <c r="O28" i="1" s="1"/>
  <c r="N28" i="1"/>
  <c r="I9" i="1" s="1"/>
  <c r="Q16" i="1" s="1"/>
  <c r="I10" i="1" l="1"/>
  <c r="I11" i="1" s="1"/>
  <c r="I13" i="1"/>
</calcChain>
</file>

<file path=xl/sharedStrings.xml><?xml version="1.0" encoding="utf-8"?>
<sst xmlns="http://schemas.openxmlformats.org/spreadsheetml/2006/main" count="104" uniqueCount="41">
  <si>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</si>
  <si>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</si>
  <si>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</si>
  <si>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</si>
  <si>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</si>
  <si>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</si>
  <si>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</si>
  <si>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</si>
  <si>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</si>
  <si>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</si>
  <si>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</si>
  <si>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</si>
  <si>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</si>
  <si>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</si>
  <si>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</si>
  <si>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</si>
  <si>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</si>
  <si>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Calificación (S&amp;P)</t>
  </si>
  <si>
    <t>Fecha de Devengamiento</t>
  </si>
  <si>
    <t>TIR Real:</t>
  </si>
  <si>
    <t>Precio:</t>
  </si>
  <si>
    <t>Duration (meses):</t>
  </si>
  <si>
    <t>Flujo Real</t>
  </si>
  <si>
    <t>Mín</t>
  </si>
  <si>
    <t>Máx</t>
  </si>
  <si>
    <t>Spread</t>
  </si>
  <si>
    <t>TNA Real:</t>
  </si>
  <si>
    <t>Valor Nominal</t>
  </si>
  <si>
    <t>Cupón</t>
  </si>
  <si>
    <t>Tasa Fija</t>
  </si>
  <si>
    <t>Cupón (BADLAR + 200 bps)</t>
  </si>
  <si>
    <t>n/a</t>
  </si>
  <si>
    <t>Cupón Badlar</t>
  </si>
  <si>
    <t>CCC (arg)</t>
  </si>
  <si>
    <t>Cupón (BADLAR + 100 bps)</t>
  </si>
  <si>
    <t>Calculadora FF Tarjeta Fértil XX - VDFA</t>
  </si>
  <si>
    <t>Calculadora FF Tarjeta Fértil XX - VDFB</t>
  </si>
  <si>
    <t>Calculadora FF Tarjeta Fértil XX - VDFC</t>
  </si>
  <si>
    <t>Mín. 70% - Máx. 115%</t>
  </si>
  <si>
    <t>Mín. 72% - Máx. 117%</t>
  </si>
  <si>
    <t>BBB (arg)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</si>
</sst>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 #,##0;&quot;$&quot;\ \-#,##0"/>
    <numFmt numFmtId="165" formatCode="&quot;$&quot;\ #,##0;[Red]&quot;$&quot;\ \-#,##0"/>
    <numFmt numFmtId="166" formatCode="_ * #,##0.00_ ;_ * \-#,##0.00_ ;_ * &quot;-&quot;??_ ;_ @_ "/>
    <numFmt numFmtId="167" formatCode="_-* #,##0.00\ _P_t_s_-;\-* #,##0.00\ _P_t_s_-;_-* &quot;-&quot;??\ _P_t_s_-;_-@_-"/>
    <numFmt numFmtId="168" formatCode="_-* #,##0\ _P_t_s_-;\-* #,##0\ _P_t_s_-;_-* &quot;-&quot;??\ _P_t_s_-;_-@_-"/>
    <numFmt numFmtId="169" formatCode="_ * #,##0_ ;_ * \-#,##0_ ;_ * &quot;-&quot;??_ ;_ @_ "/>
    <numFmt numFmtId="170" formatCode="_-* #,##0.0\ _P_t_s_-;\-* #,##0.0\ _P_t_s_-;_-* &quot;-&quot;??\ _P_t_s_-;_-@_-"/>
    <numFmt numFmtId="171" formatCode="0.0%"/>
    <numFmt numFmtId="172" formatCode="0.0000%"/>
    <numFmt numFmtId="173" formatCode="&quot;Badlar +&quot;\ 0.00%"/>
    <numFmt numFmtId="174" formatCode="dd/mm/yyyy;@"/>
  </numFmts>
  <fonts count="18"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
      <b/>
      <u/>
      <sz val="14"/>
      <name val="Calibri"/>
      <family val="2"/>
      <scheme val="minor"/>
    </font>
    <font>
      <b/>
      <i/>
      <sz val="10"/>
      <name val="Calibri"/>
      <family val="2"/>
      <scheme val="minor"/>
    </font>
    <font>
      <b/>
      <sz val="11"/>
      <color rgb="FFC00000"/>
      <name val="Calibri"/>
      <family val="2"/>
      <scheme val="minor"/>
    </font>
    <font>
      <b/>
      <sz val="11"/>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9" fillId="9"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17" fontId="10" fillId="6" borderId="0" xfId="0" applyNumberFormat="1" applyFont="1" applyFill="1" applyAlignment="1" applyProtection="1">
      <alignment vertical="center" wrapText="1"/>
      <protection hidden="1"/>
    </xf>
    <xf numFmtId="0" fontId="2" fillId="2" borderId="0" xfId="0" applyFont="1" applyFill="1" applyAlignment="1" applyProtection="1">
      <alignment horizontal="center" vertical="center"/>
      <protection hidden="1"/>
    </xf>
    <xf numFmtId="171" fontId="2" fillId="2" borderId="0" xfId="0" applyNumberFormat="1" applyFont="1" applyFill="1" applyAlignment="1" applyProtection="1">
      <alignment horizontal="center" vertical="center"/>
      <protection hidden="1"/>
    </xf>
    <xf numFmtId="171" fontId="2" fillId="2" borderId="0" xfId="2" applyNumberFormat="1" applyFont="1" applyFill="1" applyAlignment="1" applyProtection="1">
      <alignment horizontal="center" vertical="center"/>
      <protection hidden="1"/>
    </xf>
    <xf numFmtId="171" fontId="7" fillId="2" borderId="0" xfId="0" applyNumberFormat="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vertical="center"/>
      <protection hidden="1"/>
    </xf>
    <xf numFmtId="0" fontId="7" fillId="5" borderId="1" xfId="0" applyFont="1" applyFill="1" applyBorder="1" applyAlignment="1" applyProtection="1">
      <alignment vertical="center"/>
      <protection hidden="1"/>
    </xf>
    <xf numFmtId="165" fontId="13" fillId="4" borderId="1" xfId="1"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hidden="1"/>
    </xf>
    <xf numFmtId="3" fontId="2" fillId="2" borderId="0" xfId="0" applyNumberFormat="1" applyFont="1" applyFill="1" applyAlignment="1" applyProtection="1">
      <alignment vertical="center"/>
      <protection hidden="1"/>
    </xf>
    <xf numFmtId="0" fontId="2" fillId="6" borderId="3" xfId="0" applyFont="1" applyFill="1" applyBorder="1" applyAlignment="1" applyProtection="1">
      <alignment vertical="center"/>
      <protection hidden="1"/>
    </xf>
    <xf numFmtId="0" fontId="2" fillId="6" borderId="0" xfId="0" applyFont="1" applyFill="1" applyAlignment="1" applyProtection="1">
      <alignment vertical="center"/>
      <protection hidden="1"/>
    </xf>
    <xf numFmtId="0" fontId="2" fillId="6" borderId="4" xfId="0" applyFont="1" applyFill="1" applyBorder="1" applyAlignment="1" applyProtection="1">
      <alignment vertical="center"/>
      <protection hidden="1"/>
    </xf>
    <xf numFmtId="0" fontId="2" fillId="7" borderId="1" xfId="0" applyFont="1" applyFill="1" applyBorder="1" applyAlignment="1" applyProtection="1">
      <alignment horizontal="center" vertical="center"/>
      <protection hidden="1"/>
    </xf>
    <xf numFmtId="172" fontId="4" fillId="7" borderId="1" xfId="2" applyNumberFormat="1" applyFont="1" applyFill="1" applyBorder="1" applyAlignment="1" applyProtection="1">
      <alignment horizontal="center" vertical="center"/>
      <protection locked="0"/>
    </xf>
    <xf numFmtId="0" fontId="2" fillId="6" borderId="9" xfId="0" applyFont="1" applyFill="1" applyBorder="1" applyAlignment="1" applyProtection="1">
      <alignment vertical="center"/>
      <protection hidden="1"/>
    </xf>
    <xf numFmtId="10" fontId="13" fillId="3" borderId="1" xfId="2" applyNumberFormat="1" applyFont="1" applyFill="1" applyBorder="1" applyAlignment="1" applyProtection="1">
      <alignment horizontal="center" vertical="center"/>
      <protection locked="0"/>
    </xf>
    <xf numFmtId="164" fontId="2" fillId="6" borderId="4" xfId="1" applyNumberFormat="1" applyFont="1" applyFill="1" applyBorder="1" applyAlignment="1" applyProtection="1">
      <alignment horizontal="center" vertical="center"/>
      <protection hidden="1"/>
    </xf>
    <xf numFmtId="172" fontId="2" fillId="7" borderId="1" xfId="0" applyNumberFormat="1" applyFont="1" applyFill="1" applyBorder="1" applyAlignment="1" applyProtection="1">
      <alignment horizontal="center" vertical="center"/>
      <protection hidden="1"/>
    </xf>
    <xf numFmtId="10" fontId="12" fillId="2" borderId="0" xfId="0" applyNumberFormat="1" applyFont="1" applyFill="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10" fontId="2" fillId="8" borderId="1" xfId="2" applyNumberFormat="1" applyFont="1" applyFill="1" applyBorder="1" applyAlignment="1" applyProtection="1">
      <alignment horizontal="center" vertical="center"/>
      <protection hidden="1"/>
    </xf>
    <xf numFmtId="173" fontId="15" fillId="2" borderId="0" xfId="2" applyNumberFormat="1" applyFont="1" applyFill="1" applyAlignment="1" applyProtection="1">
      <alignment horizontal="center" vertical="center"/>
      <protection hidden="1"/>
    </xf>
    <xf numFmtId="10" fontId="4" fillId="2" borderId="0" xfId="0" applyNumberFormat="1" applyFont="1" applyFill="1" applyAlignment="1" applyProtection="1">
      <alignment horizontal="center" vertical="center"/>
      <protection hidden="1"/>
    </xf>
    <xf numFmtId="17" fontId="2" fillId="2" borderId="3" xfId="0" applyNumberFormat="1" applyFont="1" applyFill="1" applyBorder="1" applyAlignment="1" applyProtection="1">
      <alignment vertical="center"/>
      <protection hidden="1"/>
    </xf>
    <xf numFmtId="17" fontId="2" fillId="2" borderId="0" xfId="0" applyNumberFormat="1" applyFont="1" applyFill="1" applyAlignment="1" applyProtection="1">
      <alignment vertical="center"/>
      <protection hidden="1"/>
    </xf>
    <xf numFmtId="10" fontId="11" fillId="6" borderId="9" xfId="2" applyNumberFormat="1" applyFont="1" applyFill="1" applyBorder="1" applyAlignment="1" applyProtection="1">
      <alignment horizontal="center" vertical="center"/>
      <protection hidden="1"/>
    </xf>
    <xf numFmtId="0" fontId="2" fillId="6" borderId="7" xfId="0" applyFont="1" applyFill="1" applyBorder="1" applyAlignment="1" applyProtection="1">
      <alignment vertical="center"/>
      <protection hidden="1"/>
    </xf>
    <xf numFmtId="0" fontId="2" fillId="6" borderId="11" xfId="0" applyFont="1" applyFill="1" applyBorder="1" applyAlignment="1" applyProtection="1">
      <alignment vertical="center"/>
      <protection hidden="1"/>
    </xf>
    <xf numFmtId="0" fontId="2" fillId="6" borderId="8" xfId="0" applyFont="1" applyFill="1" applyBorder="1" applyAlignment="1" applyProtection="1">
      <alignment vertical="center"/>
      <protection hidden="1"/>
    </xf>
    <xf numFmtId="0" fontId="2" fillId="6" borderId="8" xfId="0" applyFont="1" applyFill="1" applyBorder="1" applyAlignment="1" applyProtection="1">
      <alignment horizontal="center" vertical="center"/>
      <protection hidden="1"/>
    </xf>
    <xf numFmtId="0" fontId="8" fillId="7" borderId="1" xfId="0" applyFont="1" applyFill="1" applyBorder="1" applyAlignment="1" applyProtection="1">
      <alignment horizontal="center" vertical="center"/>
      <protection hidden="1"/>
    </xf>
    <xf numFmtId="2" fontId="8" fillId="6" borderId="1" xfId="0" applyNumberFormat="1" applyFont="1" applyFill="1" applyBorder="1" applyAlignment="1" applyProtection="1">
      <alignment horizontal="center" vertical="center"/>
      <protection hidden="1"/>
    </xf>
    <xf numFmtId="14" fontId="2" fillId="2" borderId="0" xfId="0" applyNumberFormat="1" applyFont="1" applyFill="1" applyAlignment="1" applyProtection="1">
      <alignment vertical="center"/>
      <protection hidden="1"/>
    </xf>
    <xf numFmtId="0" fontId="4" fillId="2" borderId="0" xfId="0" applyFont="1" applyFill="1" applyAlignment="1" applyProtection="1">
      <alignment horizontal="center" vertical="center"/>
      <protection hidden="1"/>
    </xf>
    <xf numFmtId="14" fontId="2" fillId="6" borderId="2" xfId="0" applyNumberFormat="1" applyFont="1" applyFill="1" applyBorder="1" applyAlignment="1" applyProtection="1">
      <alignment horizontal="center" vertical="center"/>
      <protection hidden="1"/>
    </xf>
    <xf numFmtId="169" fontId="2" fillId="6" borderId="6" xfId="0" applyNumberFormat="1"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168" fontId="2" fillId="6" borderId="2" xfId="1" applyNumberFormat="1" applyFont="1" applyFill="1" applyBorder="1" applyAlignment="1" applyProtection="1">
      <alignment horizontal="center" vertical="center"/>
      <protection hidden="1"/>
    </xf>
    <xf numFmtId="168" fontId="2" fillId="6" borderId="10" xfId="0" applyNumberFormat="1" applyFont="1" applyFill="1" applyBorder="1" applyAlignment="1" applyProtection="1">
      <alignment horizontal="center" vertical="center"/>
      <protection hidden="1"/>
    </xf>
    <xf numFmtId="167" fontId="2" fillId="2" borderId="0" xfId="0" applyNumberFormat="1" applyFont="1" applyFill="1" applyAlignment="1" applyProtection="1">
      <alignment horizontal="center" vertical="center"/>
      <protection hidden="1"/>
    </xf>
    <xf numFmtId="169" fontId="2" fillId="0" borderId="0" xfId="1" applyNumberFormat="1" applyFont="1" applyAlignment="1" applyProtection="1">
      <alignment vertical="center"/>
      <protection hidden="1"/>
    </xf>
    <xf numFmtId="0" fontId="7" fillId="2" borderId="0" xfId="0" applyFont="1" applyFill="1" applyAlignment="1" applyProtection="1">
      <alignment vertical="center"/>
      <protection hidden="1"/>
    </xf>
    <xf numFmtId="1" fontId="2" fillId="6" borderId="9" xfId="1" applyNumberFormat="1" applyFont="1" applyFill="1" applyBorder="1" applyAlignment="1" applyProtection="1">
      <alignment horizontal="center" vertical="center"/>
      <protection hidden="1"/>
    </xf>
    <xf numFmtId="10" fontId="2" fillId="7" borderId="9" xfId="2" applyNumberFormat="1" applyFont="1" applyFill="1" applyBorder="1" applyAlignment="1" applyProtection="1">
      <alignment horizontal="center" vertical="center"/>
      <protection hidden="1"/>
    </xf>
    <xf numFmtId="171" fontId="2" fillId="7" borderId="9" xfId="0" applyNumberFormat="1" applyFont="1" applyFill="1" applyBorder="1" applyAlignment="1" applyProtection="1">
      <alignment horizontal="center" vertical="center"/>
      <protection hidden="1"/>
    </xf>
    <xf numFmtId="168" fontId="2" fillId="7" borderId="9" xfId="1" applyNumberFormat="1" applyFont="1" applyFill="1" applyBorder="1" applyAlignment="1" applyProtection="1">
      <alignment horizontal="center" vertical="center"/>
      <protection hidden="1"/>
    </xf>
    <xf numFmtId="168" fontId="2" fillId="7" borderId="4" xfId="0" applyNumberFormat="1" applyFont="1" applyFill="1" applyBorder="1" applyAlignment="1" applyProtection="1">
      <alignment horizontal="center" vertical="center"/>
      <protection hidden="1"/>
    </xf>
    <xf numFmtId="170" fontId="2" fillId="2" borderId="0" xfId="1" applyNumberFormat="1" applyFont="1" applyFill="1" applyAlignment="1" applyProtection="1">
      <alignment vertical="center"/>
      <protection hidden="1"/>
    </xf>
    <xf numFmtId="166" fontId="2" fillId="2" borderId="0" xfId="1" applyFont="1" applyFill="1" applyAlignment="1" applyProtection="1">
      <alignment vertical="center"/>
      <protection hidden="1"/>
    </xf>
    <xf numFmtId="169" fontId="2" fillId="2" borderId="0" xfId="1" applyNumberFormat="1" applyFont="1" applyFill="1" applyAlignment="1" applyProtection="1">
      <alignment vertical="center"/>
      <protection hidden="1"/>
    </xf>
    <xf numFmtId="168" fontId="2" fillId="2" borderId="0" xfId="0" applyNumberFormat="1" applyFont="1" applyFill="1" applyAlignment="1" applyProtection="1">
      <alignment vertical="center"/>
      <protection hidden="1"/>
    </xf>
    <xf numFmtId="168" fontId="2" fillId="2" borderId="0" xfId="0" applyNumberFormat="1" applyFont="1" applyFill="1" applyAlignment="1" applyProtection="1">
      <alignment horizontal="right" vertical="center"/>
      <protection hidden="1"/>
    </xf>
    <xf numFmtId="171" fontId="4" fillId="6" borderId="1" xfId="2" applyNumberFormat="1" applyFont="1" applyFill="1" applyBorder="1" applyAlignment="1" applyProtection="1">
      <alignment horizontal="center" vertical="center"/>
      <protection hidden="1"/>
    </xf>
    <xf numFmtId="168" fontId="4" fillId="6" borderId="1" xfId="2" applyNumberFormat="1" applyFont="1" applyFill="1" applyBorder="1" applyAlignment="1" applyProtection="1">
      <alignment horizontal="center" vertical="center"/>
      <protection hidden="1"/>
    </xf>
    <xf numFmtId="168" fontId="4" fillId="2" borderId="1" xfId="1" applyNumberFormat="1" applyFont="1" applyFill="1" applyBorder="1" applyAlignment="1" applyProtection="1">
      <alignment horizontal="right" vertical="center"/>
      <protection hidden="1"/>
    </xf>
    <xf numFmtId="168" fontId="4" fillId="2" borderId="1" xfId="1" applyNumberFormat="1" applyFont="1" applyFill="1" applyBorder="1" applyAlignment="1" applyProtection="1">
      <alignment vertical="center"/>
      <protection hidden="1"/>
    </xf>
    <xf numFmtId="169" fontId="4" fillId="2" borderId="0" xfId="1" applyNumberFormat="1" applyFont="1" applyFill="1" applyAlignment="1" applyProtection="1">
      <alignment vertical="center"/>
      <protection hidden="1"/>
    </xf>
    <xf numFmtId="169" fontId="4" fillId="0" borderId="0" xfId="1" applyNumberFormat="1" applyFont="1" applyAlignment="1" applyProtection="1">
      <alignment vertical="center"/>
      <protection hidden="1"/>
    </xf>
    <xf numFmtId="166" fontId="2" fillId="2" borderId="0" xfId="1" applyFont="1" applyFill="1" applyAlignment="1" applyProtection="1">
      <alignment horizontal="right" vertical="center"/>
      <protection hidden="1"/>
    </xf>
    <xf numFmtId="17" fontId="5" fillId="0" borderId="0" xfId="0" applyNumberFormat="1" applyFont="1" applyAlignment="1" applyProtection="1">
      <alignment vertical="center" wrapText="1"/>
      <protection hidden="1"/>
    </xf>
    <xf numFmtId="171" fontId="4" fillId="6" borderId="5" xfId="2" applyNumberFormat="1" applyFont="1" applyFill="1" applyBorder="1" applyAlignment="1" applyProtection="1">
      <alignment horizontal="center" vertical="center"/>
      <protection hidden="1"/>
    </xf>
    <xf numFmtId="168" fontId="4" fillId="6" borderId="5" xfId="2" applyNumberFormat="1" applyFont="1" applyFill="1" applyBorder="1" applyAlignment="1" applyProtection="1">
      <alignment horizontal="center" vertical="center"/>
      <protection hidden="1"/>
    </xf>
    <xf numFmtId="168" fontId="2" fillId="7" borderId="3" xfId="0" applyNumberFormat="1" applyFont="1" applyFill="1" applyBorder="1" applyAlignment="1" applyProtection="1">
      <alignment horizontal="center" vertical="center"/>
      <protection hidden="1"/>
    </xf>
    <xf numFmtId="1" fontId="2" fillId="6" borderId="5" xfId="1" applyNumberFormat="1" applyFont="1" applyFill="1" applyBorder="1" applyAlignment="1" applyProtection="1">
      <alignment horizontal="center" vertical="center"/>
      <protection hidden="1"/>
    </xf>
    <xf numFmtId="10" fontId="2" fillId="7" borderId="5" xfId="2" applyNumberFormat="1" applyFont="1" applyFill="1" applyBorder="1" applyAlignment="1" applyProtection="1">
      <alignment horizontal="center" vertical="center"/>
      <protection hidden="1"/>
    </xf>
    <xf numFmtId="171" fontId="2" fillId="7" borderId="5" xfId="0" applyNumberFormat="1" applyFont="1" applyFill="1" applyBorder="1" applyAlignment="1" applyProtection="1">
      <alignment horizontal="center" vertical="center"/>
      <protection hidden="1"/>
    </xf>
    <xf numFmtId="168" fontId="2" fillId="7" borderId="5" xfId="1" applyNumberFormat="1" applyFont="1" applyFill="1" applyBorder="1" applyAlignment="1" applyProtection="1">
      <alignment horizontal="center" vertical="center"/>
      <protection hidden="1"/>
    </xf>
    <xf numFmtId="168" fontId="2" fillId="7" borderId="8" xfId="0" applyNumberFormat="1" applyFont="1" applyFill="1" applyBorder="1" applyAlignment="1" applyProtection="1">
      <alignment horizontal="center" vertical="center"/>
      <protection hidden="1"/>
    </xf>
    <xf numFmtId="174" fontId="2" fillId="6" borderId="2" xfId="0" applyNumberFormat="1" applyFont="1" applyFill="1" applyBorder="1" applyAlignment="1" applyProtection="1">
      <alignment horizontal="center" vertical="center"/>
      <protection hidden="1"/>
    </xf>
    <xf numFmtId="174" fontId="2" fillId="6" borderId="9" xfId="0" applyNumberFormat="1" applyFont="1" applyFill="1" applyBorder="1" applyAlignment="1">
      <alignment horizontal="center" vertical="center"/>
    </xf>
    <xf numFmtId="174" fontId="2" fillId="6" borderId="5" xfId="0" applyNumberFormat="1" applyFont="1" applyFill="1" applyBorder="1" applyAlignment="1">
      <alignment horizontal="center" vertical="center"/>
    </xf>
    <xf numFmtId="174" fontId="2" fillId="6" borderId="4" xfId="0" applyNumberFormat="1" applyFont="1" applyFill="1" applyBorder="1" applyAlignment="1" applyProtection="1">
      <alignment horizontal="center" vertical="center"/>
      <protection hidden="1"/>
    </xf>
    <xf numFmtId="17" fontId="10" fillId="0" borderId="0" xfId="0" applyNumberFormat="1" applyFont="1" applyAlignment="1" applyProtection="1">
      <alignment wrapText="1"/>
      <protection hidden="1"/>
    </xf>
    <xf numFmtId="17" fontId="10" fillId="0" borderId="0" xfId="0" applyNumberFormat="1" applyFont="1" applyAlignment="1" applyProtection="1">
      <alignment vertical="center" wrapText="1"/>
      <protection hidden="1"/>
    </xf>
    <xf numFmtId="168" fontId="2" fillId="0" borderId="3" xfId="0" applyNumberFormat="1" applyFont="1" applyBorder="1" applyAlignment="1" applyProtection="1">
      <alignment horizontal="center" vertical="center"/>
      <protection hidden="1"/>
    </xf>
    <xf numFmtId="168" fontId="2" fillId="0" borderId="6" xfId="0" applyNumberFormat="1" applyFont="1" applyBorder="1" applyAlignment="1" applyProtection="1">
      <alignment horizontal="center" vertical="center"/>
      <protection hidden="1"/>
    </xf>
    <xf numFmtId="14" fontId="2" fillId="0" borderId="12" xfId="0" applyNumberFormat="1" applyFont="1" applyBorder="1" applyAlignment="1" applyProtection="1">
      <alignment horizontal="center" vertical="center"/>
      <protection hidden="1"/>
    </xf>
    <xf numFmtId="1" fontId="2" fillId="0" borderId="12" xfId="1" applyNumberFormat="1" applyFont="1" applyFill="1" applyBorder="1" applyAlignment="1" applyProtection="1">
      <alignment horizontal="center" vertical="center"/>
      <protection hidden="1"/>
    </xf>
    <xf numFmtId="10" fontId="2" fillId="0" borderId="10" xfId="2" applyNumberFormat="1" applyFont="1" applyFill="1" applyBorder="1" applyAlignment="1" applyProtection="1">
      <alignment horizontal="center" vertical="center"/>
      <protection hidden="1"/>
    </xf>
    <xf numFmtId="170" fontId="2" fillId="2" borderId="0" xfId="1" applyNumberFormat="1" applyFont="1" applyFill="1" applyBorder="1" applyAlignment="1" applyProtection="1">
      <alignment vertical="center"/>
      <protection hidden="1"/>
    </xf>
    <xf numFmtId="166" fontId="2" fillId="2" borderId="0" xfId="1" applyFont="1" applyFill="1" applyBorder="1" applyAlignment="1" applyProtection="1">
      <alignment vertical="center"/>
      <protection hidden="1"/>
    </xf>
    <xf numFmtId="169" fontId="2" fillId="2" borderId="0" xfId="1" applyNumberFormat="1" applyFont="1" applyFill="1" applyBorder="1" applyAlignment="1" applyProtection="1">
      <alignment vertical="center"/>
      <protection hidden="1"/>
    </xf>
    <xf numFmtId="169" fontId="2" fillId="0" borderId="0" xfId="1" applyNumberFormat="1" applyFont="1" applyBorder="1" applyAlignment="1" applyProtection="1">
      <alignment vertical="center"/>
      <protection hidden="1"/>
    </xf>
    <xf numFmtId="169" fontId="2" fillId="2" borderId="0" xfId="1" applyNumberFormat="1" applyFont="1" applyFill="1" applyAlignment="1" applyProtection="1">
      <alignment horizontal="center" vertical="center"/>
      <protection hidden="1"/>
    </xf>
    <xf numFmtId="0" fontId="16" fillId="2" borderId="0" xfId="0" applyFont="1" applyFill="1" applyAlignment="1" applyProtection="1">
      <alignment vertical="center"/>
      <protection hidden="1"/>
    </xf>
    <xf numFmtId="169" fontId="16" fillId="2" borderId="0" xfId="1" applyNumberFormat="1" applyFont="1" applyFill="1" applyAlignment="1" applyProtection="1">
      <alignment vertical="center"/>
      <protection hidden="1"/>
    </xf>
    <xf numFmtId="9" fontId="2" fillId="2" borderId="0" xfId="2" applyFont="1" applyFill="1" applyAlignment="1" applyProtection="1">
      <alignment vertical="center"/>
      <protection hidden="1"/>
    </xf>
    <xf numFmtId="10" fontId="2" fillId="2" borderId="0" xfId="2" applyNumberFormat="1" applyFont="1" applyFill="1" applyAlignment="1" applyProtection="1">
      <alignment vertical="center"/>
      <protection hidden="1"/>
    </xf>
    <xf numFmtId="169" fontId="2" fillId="2" borderId="0" xfId="0" applyNumberFormat="1" applyFont="1" applyFill="1" applyAlignment="1" applyProtection="1">
      <alignment vertical="center"/>
      <protection hidden="1"/>
    </xf>
    <xf numFmtId="10" fontId="2" fillId="2" borderId="0" xfId="0" applyNumberFormat="1" applyFont="1" applyFill="1" applyAlignment="1" applyProtection="1">
      <alignment vertical="center"/>
      <protection hidden="1"/>
    </xf>
    <xf numFmtId="169" fontId="4" fillId="0" borderId="0" xfId="0" applyNumberFormat="1" applyFont="1" applyAlignment="1" applyProtection="1">
      <alignment vertical="center"/>
      <protection hidden="1"/>
    </xf>
    <xf numFmtId="172" fontId="13" fillId="3" borderId="1" xfId="2" applyNumberFormat="1" applyFont="1" applyFill="1" applyBorder="1" applyAlignment="1" applyProtection="1">
      <alignment horizontal="center" vertical="center"/>
      <protection locked="0"/>
    </xf>
    <xf numFmtId="172" fontId="2" fillId="2" borderId="0" xfId="0" applyNumberFormat="1" applyFont="1" applyFill="1" applyAlignment="1" applyProtection="1">
      <alignment vertical="center"/>
      <protection hidden="1"/>
    </xf>
    <xf numFmtId="174" fontId="2" fillId="0" borderId="4" xfId="0" applyNumberFormat="1" applyFont="1" applyBorder="1" applyAlignment="1" applyProtection="1">
      <alignment horizontal="center" vertical="center"/>
      <protection hidden="1"/>
    </xf>
    <xf numFmtId="172" fontId="4" fillId="0" borderId="1" xfId="2" applyNumberFormat="1" applyFont="1" applyFill="1" applyBorder="1" applyAlignment="1" applyProtection="1">
      <alignment horizontal="center" vertical="center"/>
      <protection locked="0"/>
    </xf>
    <xf numFmtId="172" fontId="2" fillId="8" borderId="1" xfId="2" applyNumberFormat="1"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17" fontId="10" fillId="6" borderId="6" xfId="0" applyNumberFormat="1" applyFont="1" applyFill="1" applyBorder="1" applyAlignment="1" applyProtection="1">
      <alignment horizontal="center" vertical="center" wrapText="1"/>
      <protection hidden="1"/>
    </xf>
    <xf numFmtId="17" fontId="10" fillId="6" borderId="12" xfId="0" applyNumberFormat="1" applyFont="1" applyFill="1" applyBorder="1" applyAlignment="1" applyProtection="1">
      <alignment horizontal="center" vertical="center" wrapText="1"/>
      <protection hidden="1"/>
    </xf>
    <xf numFmtId="17" fontId="10" fillId="6" borderId="10" xfId="0" applyNumberFormat="1" applyFont="1" applyFill="1" applyBorder="1" applyAlignment="1" applyProtection="1">
      <alignment horizontal="center" vertical="center" wrapText="1"/>
      <protection hidden="1"/>
    </xf>
    <xf numFmtId="17" fontId="10" fillId="6" borderId="3" xfId="0" applyNumberFormat="1" applyFont="1" applyFill="1" applyBorder="1" applyAlignment="1" applyProtection="1">
      <alignment horizontal="center" vertical="center" wrapText="1"/>
      <protection hidden="1"/>
    </xf>
    <xf numFmtId="17" fontId="10" fillId="6" borderId="0" xfId="0" applyNumberFormat="1" applyFont="1" applyFill="1" applyAlignment="1" applyProtection="1">
      <alignment horizontal="center" vertical="center" wrapText="1"/>
      <protection hidden="1"/>
    </xf>
    <xf numFmtId="17" fontId="10" fillId="6" borderId="4" xfId="0" applyNumberFormat="1" applyFont="1" applyFill="1" applyBorder="1" applyAlignment="1" applyProtection="1">
      <alignment horizontal="center" vertical="center" wrapText="1"/>
      <protection hidden="1"/>
    </xf>
    <xf numFmtId="17" fontId="10" fillId="6" borderId="7" xfId="0" applyNumberFormat="1" applyFont="1" applyFill="1" applyBorder="1" applyAlignment="1" applyProtection="1">
      <alignment horizontal="center" vertical="center" wrapText="1"/>
      <protection hidden="1"/>
    </xf>
    <xf numFmtId="17" fontId="10" fillId="6" borderId="11" xfId="0" applyNumberFormat="1" applyFont="1" applyFill="1" applyBorder="1" applyAlignment="1" applyProtection="1">
      <alignment horizontal="center" vertical="center" wrapText="1"/>
      <protection hidden="1"/>
    </xf>
    <xf numFmtId="17" fontId="10" fillId="6" borderId="8" xfId="0" applyNumberFormat="1" applyFont="1" applyFill="1" applyBorder="1" applyAlignment="1" applyProtection="1">
      <alignment horizontal="center" vertical="center" wrapText="1"/>
      <protection hidden="1"/>
    </xf>
    <xf numFmtId="17" fontId="10" fillId="0" borderId="0" xfId="0" applyNumberFormat="1" applyFont="1" applyAlignment="1" applyProtection="1">
      <alignment horizontal="center" wrapText="1"/>
      <protection hidden="1"/>
    </xf>
    <xf numFmtId="173" fontId="17" fillId="2" borderId="0" xfId="2" applyNumberFormat="1" applyFont="1" applyFill="1" applyAlignment="1" applyProtection="1">
      <alignment horizontal="center" vertical="center"/>
      <protection hidden="1"/>
    </xf>
  </cellXfs>
  <cellStyles count="3">
    <cellStyle name="Millares" xfId="1" builtinId="3"/>
    <cellStyle name="Normal" xfId="0" builtinId="0"/>
    <cellStyle name="Porcentaje" xfId="2" builtinId="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13162A"/>
      <color rgb="FF0000FF"/>
      <color rgb="FFF9FBFC"/>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3265" y="152400"/>
          <a:ext cx="2353235" cy="1259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356067" y="1225924"/>
          <a:ext cx="1885950" cy="2069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600">
              <a:solidFill>
                <a:srgbClr val="1482C5"/>
              </a:solidFill>
              <a:latin typeface="Helvetica65-Medium" panose="020B0600000000000000" pitchFamily="34" charset="0"/>
            </a:rPr>
            <a:t>F.F. Tarjeta Fértil</a:t>
          </a:r>
        </a:p>
        <a:p>
          <a:pPr algn="ctr"/>
          <a:r>
            <a:rPr lang="es-ES" sz="1600">
              <a:solidFill>
                <a:srgbClr val="1482C5"/>
              </a:solidFill>
              <a:latin typeface="Helvetica65-Medium" panose="020B0600000000000000" pitchFamily="34" charset="0"/>
            </a:rPr>
            <a:t>XX</a:t>
          </a:r>
          <a:r>
            <a:rPr lang="es-ES" sz="1600" baseline="0">
              <a:solidFill>
                <a:srgbClr val="1482C5"/>
              </a:solidFill>
              <a:latin typeface="Helvetica65-Medium" panose="020B0600000000000000" pitchFamily="34" charset="0"/>
            </a:rPr>
            <a:t> </a:t>
          </a:r>
          <a:r>
            <a:rPr lang="es-ES" sz="1600">
              <a:solidFill>
                <a:srgbClr val="1482C5"/>
              </a:solidFill>
              <a:latin typeface="Helvetica65-Medium" panose="020B0600000000000000" pitchFamily="34" charset="0"/>
            </a:rPr>
            <a:t>-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a16="http://schemas.microsoft.com/office/drawing/2014/main" id="{00000000-0008-0000-0000-000009000000}"/>
            </a:ext>
          </a:extLst>
        </xdr:cNvPr>
        <xdr:cNvGrpSpPr/>
      </xdr:nvGrpSpPr>
      <xdr:grpSpPr>
        <a:xfrm>
          <a:off x="3088821" y="791936"/>
          <a:ext cx="3482543" cy="320944"/>
          <a:chOff x="3105150" y="857250"/>
          <a:chExt cx="2860696" cy="318223"/>
        </a:xfrm>
      </xdr:grpSpPr>
      <xdr:pic>
        <xdr:nvPicPr>
          <xdr:cNvPr id="10" name="9 Imagen">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a16="http://schemas.microsoft.com/office/drawing/2014/main" id="{00000000-0008-0000-0000-00000D000000}"/>
            </a:ext>
          </a:extLst>
        </xdr:cNvPr>
        <xdr:cNvGrpSpPr/>
      </xdr:nvGrpSpPr>
      <xdr:grpSpPr>
        <a:xfrm>
          <a:off x="7878536" y="823687"/>
          <a:ext cx="1404938" cy="294821"/>
          <a:chOff x="6929437" y="564885"/>
          <a:chExt cx="1421267" cy="295275"/>
        </a:xfrm>
      </xdr:grpSpPr>
      <xdr:pic>
        <xdr:nvPicPr>
          <xdr:cNvPr id="14" name="13 Imagen">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a16="http://schemas.microsoft.com/office/drawing/2014/main" id="{00000000-0008-0000-0000-000010000000}"/>
            </a:ext>
          </a:extLst>
        </xdr:cNvPr>
        <xdr:cNvGrpSpPr/>
      </xdr:nvGrpSpPr>
      <xdr:grpSpPr>
        <a:xfrm>
          <a:off x="7878536" y="1156607"/>
          <a:ext cx="1404938" cy="291647"/>
          <a:chOff x="6934200" y="912725"/>
          <a:chExt cx="1421267" cy="301625"/>
        </a:xfrm>
      </xdr:grpSpPr>
      <xdr:pic>
        <xdr:nvPicPr>
          <xdr:cNvPr id="17" name="16 Imagen">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20" name="19 Grupo">
          <a:extLst>
            <a:ext uri="{FF2B5EF4-FFF2-40B4-BE49-F238E27FC236}">
              <a16:creationId xmlns:a16="http://schemas.microsoft.com/office/drawing/2014/main" id="{00000000-0008-0000-0000-000014000000}"/>
            </a:ext>
          </a:extLst>
        </xdr:cNvPr>
        <xdr:cNvGrpSpPr/>
      </xdr:nvGrpSpPr>
      <xdr:grpSpPr>
        <a:xfrm>
          <a:off x="380158" y="2188188"/>
          <a:ext cx="1905000" cy="1949502"/>
          <a:chOff x="152400" y="1971675"/>
          <a:chExt cx="1905000" cy="1163003"/>
        </a:xfrm>
      </xdr:grpSpPr>
      <xdr:cxnSp macro="">
        <xdr:nvCxnSpPr>
          <xdr:cNvPr id="12" name="11 Conector recto">
            <a:extLst>
              <a:ext uri="{FF2B5EF4-FFF2-40B4-BE49-F238E27FC236}">
                <a16:creationId xmlns:a16="http://schemas.microsoft.com/office/drawing/2014/main"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id="{00000000-0008-0000-0000-000016000000}"/>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67235</xdr:colOff>
      <xdr:row>0</xdr:row>
      <xdr:rowOff>0</xdr:rowOff>
    </xdr:from>
    <xdr:to>
      <xdr:col>1</xdr:col>
      <xdr:colOff>201706</xdr:colOff>
      <xdr:row>6</xdr:row>
      <xdr:rowOff>130862</xdr:rowOff>
    </xdr:to>
    <xdr:pic>
      <xdr:nvPicPr>
        <xdr:cNvPr id="3" name="Imagen 2">
          <a:extLst>
            <a:ext uri="{FF2B5EF4-FFF2-40B4-BE49-F238E27FC236}">
              <a16:creationId xmlns:a16="http://schemas.microsoft.com/office/drawing/2014/main" id="{ABFF2646-2947-432D-B8B9-553ADA1221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35" y="0"/>
          <a:ext cx="2521324" cy="1150597"/>
        </a:xfrm>
        <a:prstGeom prst="rect">
          <a:avLst/>
        </a:prstGeom>
      </xdr:spPr>
    </xdr:pic>
    <xdr:clientData/>
  </xdr:twoCellAnchor>
  <xdr:twoCellAnchor editAs="oneCell">
    <xdr:from>
      <xdr:col>9</xdr:col>
      <xdr:colOff>559593</xdr:colOff>
      <xdr:row>0</xdr:row>
      <xdr:rowOff>119062</xdr:rowOff>
    </xdr:from>
    <xdr:to>
      <xdr:col>17</xdr:col>
      <xdr:colOff>658244</xdr:colOff>
      <xdr:row>5</xdr:row>
      <xdr:rowOff>23813</xdr:rowOff>
    </xdr:to>
    <xdr:pic>
      <xdr:nvPicPr>
        <xdr:cNvPr id="2" name="Imagen 1"/>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393" t="30108" r="14754" b="30519"/>
        <a:stretch/>
      </xdr:blipFill>
      <xdr:spPr>
        <a:xfrm>
          <a:off x="10525124" y="119062"/>
          <a:ext cx="2000250" cy="809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295DBCA3-6384-46D0-B0D4-5B1DBF9B20DE}"/>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CFA412D4-D32C-4A06-9B0C-E19C294322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XX </a:t>
          </a:r>
          <a:r>
            <a:rPr lang="es-ES" sz="1600">
              <a:solidFill>
                <a:srgbClr val="1482C5"/>
              </a:solidFill>
              <a:latin typeface="Helvetica65-Medium" panose="020B0600000000000000" pitchFamily="34" charset="0"/>
            </a:rPr>
            <a:t>- VDFB</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7E356F23-E20A-41A9-A8CB-4CBF691CF6CD}"/>
            </a:ext>
          </a:extLst>
        </xdr:cNvPr>
        <xdr:cNvGrpSpPr/>
      </xdr:nvGrpSpPr>
      <xdr:grpSpPr>
        <a:xfrm>
          <a:off x="3083719" y="795338"/>
          <a:ext cx="3489346" cy="327748"/>
          <a:chOff x="3105150" y="857250"/>
          <a:chExt cx="2860696" cy="318223"/>
        </a:xfrm>
      </xdr:grpSpPr>
      <xdr:pic>
        <xdr:nvPicPr>
          <xdr:cNvPr id="5" name="9 Imagen">
            <a:extLst>
              <a:ext uri="{FF2B5EF4-FFF2-40B4-BE49-F238E27FC236}">
                <a16:creationId xmlns:a16="http://schemas.microsoft.com/office/drawing/2014/main" id="{F136326B-FC7C-44BC-ABA7-0D3CA5181D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4C5BD1C4-DAF0-440E-9006-66530178876C}"/>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9F7F5ACB-10E1-4825-9F1E-57C9A30ADC08}"/>
            </a:ext>
          </a:extLst>
        </xdr:cNvPr>
        <xdr:cNvGrpSpPr/>
      </xdr:nvGrpSpPr>
      <xdr:grpSpPr>
        <a:xfrm>
          <a:off x="7679531" y="827089"/>
          <a:ext cx="1197430" cy="301625"/>
          <a:chOff x="6929437" y="564885"/>
          <a:chExt cx="1421267" cy="295275"/>
        </a:xfrm>
      </xdr:grpSpPr>
      <xdr:pic>
        <xdr:nvPicPr>
          <xdr:cNvPr id="8" name="13 Imagen">
            <a:extLst>
              <a:ext uri="{FF2B5EF4-FFF2-40B4-BE49-F238E27FC236}">
                <a16:creationId xmlns:a16="http://schemas.microsoft.com/office/drawing/2014/main" id="{DD0C2DBD-5307-4776-B201-3390770DD35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7DEA4BE0-6C3B-4D08-B920-99BBDF68432A}"/>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BE8E1C05-6C53-4372-BC50-50F581540130}"/>
            </a:ext>
          </a:extLst>
        </xdr:cNvPr>
        <xdr:cNvGrpSpPr/>
      </xdr:nvGrpSpPr>
      <xdr:grpSpPr>
        <a:xfrm>
          <a:off x="7679531" y="1166813"/>
          <a:ext cx="1197430" cy="298450"/>
          <a:chOff x="6934200" y="912725"/>
          <a:chExt cx="1421267" cy="301625"/>
        </a:xfrm>
      </xdr:grpSpPr>
      <xdr:pic>
        <xdr:nvPicPr>
          <xdr:cNvPr id="11" name="16 Imagen">
            <a:extLst>
              <a:ext uri="{FF2B5EF4-FFF2-40B4-BE49-F238E27FC236}">
                <a16:creationId xmlns:a16="http://schemas.microsoft.com/office/drawing/2014/main" id="{8CC39475-80BA-44ED-A9EA-B2DA7D55AD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C86BCBAF-4996-462C-A7F6-6D9E4DBD42F4}"/>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B5D04D4-382E-4368-A2E1-C7B1F7816159}"/>
            </a:ext>
          </a:extLst>
        </xdr:cNvPr>
        <xdr:cNvGrpSpPr/>
      </xdr:nvGrpSpPr>
      <xdr:grpSpPr>
        <a:xfrm>
          <a:off x="380158" y="2191590"/>
          <a:ext cx="1905000" cy="1917185"/>
          <a:chOff x="152400" y="1971675"/>
          <a:chExt cx="1905000" cy="1163003"/>
        </a:xfrm>
      </xdr:grpSpPr>
      <xdr:cxnSp macro="">
        <xdr:nvCxnSpPr>
          <xdr:cNvPr id="14" name="11 Conector recto">
            <a:extLst>
              <a:ext uri="{FF2B5EF4-FFF2-40B4-BE49-F238E27FC236}">
                <a16:creationId xmlns:a16="http://schemas.microsoft.com/office/drawing/2014/main" id="{C58F49A8-E95A-4A65-A52D-7556949C63E6}"/>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8056E1B0-8B16-4614-80E6-809A37F9E0BC}"/>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F3FF6700-EF04-42D4-9FEF-998F05B73C8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67235</xdr:colOff>
      <xdr:row>0</xdr:row>
      <xdr:rowOff>0</xdr:rowOff>
    </xdr:from>
    <xdr:to>
      <xdr:col>1</xdr:col>
      <xdr:colOff>201706</xdr:colOff>
      <xdr:row>6</xdr:row>
      <xdr:rowOff>130862</xdr:rowOff>
    </xdr:to>
    <xdr:pic>
      <xdr:nvPicPr>
        <xdr:cNvPr id="17" name="Imagen 16">
          <a:extLst>
            <a:ext uri="{FF2B5EF4-FFF2-40B4-BE49-F238E27FC236}">
              <a16:creationId xmlns:a16="http://schemas.microsoft.com/office/drawing/2014/main" id="{8DA97245-175A-4AD1-A567-DC64D6BB5C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35" y="0"/>
          <a:ext cx="2515721" cy="1178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929C81AD-69A0-4EF6-8D97-C4E71918A9BA}"/>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62B16A74-B3E6-49D1-BAC0-FCEA6D9EFE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XX </a:t>
          </a:r>
          <a:r>
            <a:rPr lang="es-ES" sz="1600">
              <a:solidFill>
                <a:srgbClr val="1482C5"/>
              </a:solidFill>
              <a:latin typeface="Helvetica65-Medium" panose="020B0600000000000000" pitchFamily="34" charset="0"/>
            </a:rPr>
            <a:t>- VDFC</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92B7038C-DE49-4355-A5C6-CD78E9BAE3D5}"/>
            </a:ext>
          </a:extLst>
        </xdr:cNvPr>
        <xdr:cNvGrpSpPr/>
      </xdr:nvGrpSpPr>
      <xdr:grpSpPr>
        <a:xfrm>
          <a:off x="3083719" y="795338"/>
          <a:ext cx="3489346" cy="327748"/>
          <a:chOff x="3105150" y="857250"/>
          <a:chExt cx="2860696" cy="318223"/>
        </a:xfrm>
      </xdr:grpSpPr>
      <xdr:pic>
        <xdr:nvPicPr>
          <xdr:cNvPr id="5" name="9 Imagen">
            <a:extLst>
              <a:ext uri="{FF2B5EF4-FFF2-40B4-BE49-F238E27FC236}">
                <a16:creationId xmlns:a16="http://schemas.microsoft.com/office/drawing/2014/main" id="{723DC19B-AE1D-4D95-9D81-9F1403519D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DE419E18-8C68-4E10-B9F7-1F16D924B0C3}"/>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43FDED8B-6715-4A99-910C-F77E41532775}"/>
            </a:ext>
          </a:extLst>
        </xdr:cNvPr>
        <xdr:cNvGrpSpPr/>
      </xdr:nvGrpSpPr>
      <xdr:grpSpPr>
        <a:xfrm>
          <a:off x="7679531" y="827089"/>
          <a:ext cx="1197430" cy="301625"/>
          <a:chOff x="6929437" y="564885"/>
          <a:chExt cx="1421267" cy="295275"/>
        </a:xfrm>
      </xdr:grpSpPr>
      <xdr:pic>
        <xdr:nvPicPr>
          <xdr:cNvPr id="8" name="13 Imagen">
            <a:extLst>
              <a:ext uri="{FF2B5EF4-FFF2-40B4-BE49-F238E27FC236}">
                <a16:creationId xmlns:a16="http://schemas.microsoft.com/office/drawing/2014/main" id="{4C94A8F0-7B40-468E-8FF2-416D4B2593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2F60A171-DDBC-4BD8-9912-AA5939B7496E}"/>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43636729-9BEC-47AB-B92E-2BDE9276A538}"/>
            </a:ext>
          </a:extLst>
        </xdr:cNvPr>
        <xdr:cNvGrpSpPr/>
      </xdr:nvGrpSpPr>
      <xdr:grpSpPr>
        <a:xfrm>
          <a:off x="7679531" y="1166813"/>
          <a:ext cx="1197430" cy="298450"/>
          <a:chOff x="6934200" y="912725"/>
          <a:chExt cx="1421267" cy="301625"/>
        </a:xfrm>
      </xdr:grpSpPr>
      <xdr:pic>
        <xdr:nvPicPr>
          <xdr:cNvPr id="11" name="16 Imagen">
            <a:extLst>
              <a:ext uri="{FF2B5EF4-FFF2-40B4-BE49-F238E27FC236}">
                <a16:creationId xmlns:a16="http://schemas.microsoft.com/office/drawing/2014/main" id="{4C7E34FF-C98B-41FB-9629-E2359A98AD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A1F393B0-836E-4B51-A51A-61430FB5193D}"/>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DAFE733-4A45-4E18-B8FF-3B7E225D61B9}"/>
            </a:ext>
          </a:extLst>
        </xdr:cNvPr>
        <xdr:cNvGrpSpPr/>
      </xdr:nvGrpSpPr>
      <xdr:grpSpPr>
        <a:xfrm>
          <a:off x="380158" y="2191590"/>
          <a:ext cx="1905000" cy="1917185"/>
          <a:chOff x="152400" y="1971675"/>
          <a:chExt cx="1905000" cy="1163003"/>
        </a:xfrm>
      </xdr:grpSpPr>
      <xdr:cxnSp macro="">
        <xdr:nvCxnSpPr>
          <xdr:cNvPr id="14" name="11 Conector recto">
            <a:extLst>
              <a:ext uri="{FF2B5EF4-FFF2-40B4-BE49-F238E27FC236}">
                <a16:creationId xmlns:a16="http://schemas.microsoft.com/office/drawing/2014/main" id="{0A4A25C5-BBC1-4F92-9D53-4F66ABA48D55}"/>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A98DEE6B-08AC-455C-BDB3-D7FD9BA9D317}"/>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0A6DBDA7-97F3-405C-89DA-53D4DD6E88C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67235</xdr:colOff>
      <xdr:row>0</xdr:row>
      <xdr:rowOff>0</xdr:rowOff>
    </xdr:from>
    <xdr:to>
      <xdr:col>1</xdr:col>
      <xdr:colOff>201706</xdr:colOff>
      <xdr:row>6</xdr:row>
      <xdr:rowOff>130862</xdr:rowOff>
    </xdr:to>
    <xdr:pic>
      <xdr:nvPicPr>
        <xdr:cNvPr id="17" name="Imagen 16">
          <a:extLst>
            <a:ext uri="{FF2B5EF4-FFF2-40B4-BE49-F238E27FC236}">
              <a16:creationId xmlns:a16="http://schemas.microsoft.com/office/drawing/2014/main" id="{CAF8D348-B130-4F87-922B-B2C220438F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35" y="0"/>
          <a:ext cx="2515721" cy="11786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tabSelected="1" zoomScale="70" zoomScaleNormal="70" zoomScalePageLayoutView="50" workbookViewId="0">
      <selection activeCell="U19" sqref="U19"/>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customWidth="1"/>
    <col min="5" max="5" width="11.7109375" style="34" customWidth="1"/>
    <col min="6" max="6" width="19.42578125" style="8" bestFit="1" customWidth="1"/>
    <col min="7" max="7" width="19.7109375" style="8" bestFit="1" customWidth="1"/>
    <col min="8" max="8" width="20.5703125" style="8" bestFit="1" customWidth="1"/>
    <col min="9" max="9" width="19.7109375" style="8" bestFit="1" customWidth="1"/>
    <col min="10" max="10" width="21.140625" style="8" bestFit="1" customWidth="1"/>
    <col min="11" max="11" width="1.85546875" style="8" customWidth="1"/>
    <col min="12" max="12" width="5.5703125" style="8" customWidth="1"/>
    <col min="13" max="13" width="10.28515625" style="8" hidden="1" customWidth="1" outlineLevel="1"/>
    <col min="14" max="14" width="17.42578125" style="8" hidden="1" customWidth="1" outlineLevel="1"/>
    <col min="15" max="15" width="18.7109375" style="8" hidden="1" customWidth="1" outlineLevel="1"/>
    <col min="16" max="16" width="11.42578125" style="8" hidden="1" customWidth="1" outlineLevel="1"/>
    <col min="17" max="17" width="17.42578125" style="8" hidden="1" customWidth="1" outlineLevel="1"/>
    <col min="18" max="18" width="13.42578125" style="8" bestFit="1" customWidth="1"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35</v>
      </c>
      <c r="D3" s="10"/>
      <c r="E3" s="11"/>
      <c r="F3" s="11"/>
      <c r="G3" s="11"/>
      <c r="H3" s="94"/>
      <c r="I3" s="95"/>
      <c r="J3" s="11"/>
      <c r="K3" s="11"/>
      <c r="M3" s="12"/>
      <c r="N3" s="100"/>
      <c r="O3" s="12"/>
      <c r="P3" s="12"/>
      <c r="Q3" s="12"/>
      <c r="R3" s="6"/>
      <c r="S3" s="6"/>
    </row>
    <row r="4" spans="3:23" x14ac:dyDescent="0.2">
      <c r="C4" s="8"/>
      <c r="D4" s="8"/>
      <c r="E4" s="8"/>
      <c r="M4" s="12"/>
      <c r="N4" s="12"/>
      <c r="O4" s="12"/>
      <c r="P4" s="12"/>
      <c r="Q4" s="12"/>
      <c r="R4" s="93"/>
      <c r="S4" s="6"/>
    </row>
    <row r="5" spans="3:23" x14ac:dyDescent="0.2">
      <c r="C5" s="8"/>
      <c r="D5" s="8"/>
      <c r="E5" s="8"/>
      <c r="M5" s="13"/>
      <c r="N5" s="13"/>
      <c r="O5" s="13"/>
      <c r="P5" s="13"/>
      <c r="Q5" s="13"/>
      <c r="R5" s="93"/>
      <c r="S5" s="17"/>
      <c r="T5" s="17"/>
      <c r="U5" s="17"/>
      <c r="V5" s="17"/>
    </row>
    <row r="6" spans="3:23" x14ac:dyDescent="0.2">
      <c r="C6" s="106"/>
      <c r="D6" s="106"/>
      <c r="E6" s="106"/>
      <c r="F6" s="106"/>
      <c r="H6" s="14"/>
      <c r="I6" s="15">
        <v>241042385</v>
      </c>
      <c r="J6" s="16" t="s">
        <v>0</v>
      </c>
      <c r="R6" s="5"/>
      <c r="S6" s="17"/>
      <c r="T6" s="17"/>
      <c r="U6" s="17"/>
      <c r="V6" s="17"/>
      <c r="W6" s="17"/>
    </row>
    <row r="7" spans="3:23" x14ac:dyDescent="0.2">
      <c r="C7" s="18" t="s">
        <v>18</v>
      </c>
      <c r="D7" s="19"/>
      <c r="E7" s="20"/>
      <c r="F7" s="81">
        <v>45072</v>
      </c>
      <c r="H7" s="21" t="s">
        <v>13</v>
      </c>
      <c r="I7" s="104">
        <v>0.93187500000000001</v>
      </c>
      <c r="J7" s="16" t="s">
        <v>0</v>
      </c>
      <c r="R7" s="5"/>
      <c r="S7" s="17"/>
      <c r="T7" s="17"/>
      <c r="U7" s="17"/>
      <c r="V7" s="17"/>
      <c r="W7" s="17"/>
    </row>
    <row r="8" spans="3:23" x14ac:dyDescent="0.2">
      <c r="C8" s="23" t="s">
        <v>12</v>
      </c>
      <c r="D8" s="18"/>
      <c r="E8" s="20"/>
      <c r="F8" s="103">
        <v>45079</v>
      </c>
      <c r="H8" s="14"/>
      <c r="I8" s="101">
        <v>1.0852999999999999</v>
      </c>
      <c r="J8" s="16" t="s">
        <v>0</v>
      </c>
      <c r="Q8" s="4" t="s">
        <v>25</v>
      </c>
      <c r="R8" s="5"/>
      <c r="S8" s="17"/>
      <c r="T8" s="17"/>
      <c r="U8" s="17"/>
      <c r="V8" s="17"/>
      <c r="W8" s="17"/>
    </row>
    <row r="9" spans="3:23" x14ac:dyDescent="0.2">
      <c r="C9" s="18" t="s">
        <v>27</v>
      </c>
      <c r="D9" s="19"/>
      <c r="E9" s="20"/>
      <c r="F9" s="25">
        <v>241042385</v>
      </c>
      <c r="H9" s="21" t="s">
        <v>20</v>
      </c>
      <c r="I9" s="26">
        <f>+N28/I6</f>
        <v>0.99128933360426974</v>
      </c>
      <c r="Q9" s="27">
        <v>0.01</v>
      </c>
      <c r="R9" s="5"/>
      <c r="S9" s="17"/>
      <c r="T9" s="17"/>
      <c r="U9" s="17"/>
      <c r="V9" s="17"/>
      <c r="W9" s="17"/>
    </row>
    <row r="10" spans="3:23" x14ac:dyDescent="0.2">
      <c r="C10" s="18" t="s">
        <v>1</v>
      </c>
      <c r="D10" s="19"/>
      <c r="E10" s="20"/>
      <c r="F10" s="28" t="s">
        <v>2</v>
      </c>
      <c r="H10" s="29" t="s">
        <v>19</v>
      </c>
      <c r="I10" s="105">
        <f>+XIRR(Q16:Q27,C16:C27)</f>
        <v>1.6540227532386784</v>
      </c>
      <c r="Q10" s="4" t="s">
        <v>23</v>
      </c>
      <c r="R10" s="5"/>
      <c r="S10" s="17"/>
      <c r="T10" s="17"/>
      <c r="U10" s="17"/>
      <c r="V10" s="17"/>
      <c r="W10" s="17"/>
    </row>
    <row r="11" spans="3:23" ht="15" x14ac:dyDescent="0.2">
      <c r="C11" s="18" t="s">
        <v>34</v>
      </c>
      <c r="D11" s="19"/>
      <c r="E11" s="20"/>
      <c r="F11" s="28" t="s">
        <v>38</v>
      </c>
      <c r="H11" s="29" t="s">
        <v>26</v>
      </c>
      <c r="I11" s="105">
        <f>((1+I10)^(1/12)-1)*12</f>
        <v>1.0168719575039953</v>
      </c>
      <c r="J11" s="117" t="str">
        <f>+IF(ROUND((I11-I7),4)&gt;=0,"Badlar +"&amp;TEXT(ROUND((I11-I7),4)," 0,00%"),"Badlar "&amp;TEXT(ROUND((I11-I7),4)," 0,00%"))</f>
        <v>Badlar + 8,50%</v>
      </c>
      <c r="L11" s="102"/>
      <c r="Q11" s="32">
        <f>+$F$12</f>
        <v>0.7</v>
      </c>
      <c r="R11" s="5"/>
      <c r="S11" s="17"/>
      <c r="T11" s="17"/>
      <c r="U11" s="17"/>
      <c r="V11" s="17"/>
      <c r="W11" s="17"/>
    </row>
    <row r="12" spans="3:23" x14ac:dyDescent="0.2">
      <c r="C12" s="33" t="s">
        <v>16</v>
      </c>
      <c r="F12" s="35">
        <v>0.7</v>
      </c>
      <c r="G12" s="16"/>
      <c r="Q12" s="4" t="s">
        <v>24</v>
      </c>
      <c r="R12" s="5"/>
      <c r="S12" s="17"/>
      <c r="T12" s="17"/>
      <c r="U12" s="17"/>
      <c r="V12" s="17"/>
      <c r="W12" s="17"/>
    </row>
    <row r="13" spans="3:23" x14ac:dyDescent="0.2">
      <c r="C13" s="36" t="s">
        <v>17</v>
      </c>
      <c r="D13" s="37"/>
      <c r="E13" s="38"/>
      <c r="F13" s="39" t="s">
        <v>15</v>
      </c>
      <c r="H13" s="40" t="s">
        <v>21</v>
      </c>
      <c r="I13" s="41">
        <f>+O28/N28/365*12</f>
        <v>4.7637403676624146</v>
      </c>
      <c r="Q13" s="27">
        <v>1.1499999999999999</v>
      </c>
      <c r="R13" s="5"/>
      <c r="S13" s="17"/>
      <c r="T13" s="17"/>
      <c r="U13" s="17"/>
      <c r="V13" s="17"/>
      <c r="W13" s="17"/>
    </row>
    <row r="14" spans="3:23" x14ac:dyDescent="0.2">
      <c r="C14" s="8"/>
      <c r="D14" s="8"/>
      <c r="E14" s="8"/>
      <c r="S14" s="17"/>
      <c r="T14" s="17"/>
      <c r="U14" s="17"/>
      <c r="V14" s="17"/>
      <c r="W14" s="17"/>
    </row>
    <row r="15" spans="3:23" ht="15.75" x14ac:dyDescent="0.2">
      <c r="C15" s="1" t="s">
        <v>3</v>
      </c>
      <c r="D15" s="1" t="s">
        <v>9</v>
      </c>
      <c r="E15" s="1" t="s">
        <v>28</v>
      </c>
      <c r="F15" s="1" t="s">
        <v>4</v>
      </c>
      <c r="G15" s="1" t="s">
        <v>5</v>
      </c>
      <c r="H15" s="1" t="s">
        <v>6</v>
      </c>
      <c r="I15" s="1" t="s">
        <v>7</v>
      </c>
      <c r="J15" s="1" t="s">
        <v>8</v>
      </c>
      <c r="K15" s="43"/>
      <c r="L15" s="4"/>
      <c r="M15" s="2" t="s">
        <v>9</v>
      </c>
      <c r="N15" s="2" t="s">
        <v>10</v>
      </c>
      <c r="O15" s="2" t="s">
        <v>11</v>
      </c>
      <c r="Q15" s="2" t="s">
        <v>22</v>
      </c>
      <c r="S15" s="17"/>
      <c r="T15" s="17"/>
      <c r="U15" s="17"/>
      <c r="V15" s="17"/>
    </row>
    <row r="16" spans="3:23" x14ac:dyDescent="0.2">
      <c r="C16" s="78">
        <f>+F8</f>
        <v>45079</v>
      </c>
      <c r="D16" s="45"/>
      <c r="E16" s="44"/>
      <c r="F16" s="46"/>
      <c r="G16" s="46"/>
      <c r="H16" s="46"/>
      <c r="I16" s="47"/>
      <c r="J16" s="48">
        <f>+$F$9</f>
        <v>241042385</v>
      </c>
      <c r="K16" s="49"/>
      <c r="Q16" s="50">
        <f>+-(I6*I9)</f>
        <v>-238942745.19703382</v>
      </c>
      <c r="S16" s="17"/>
      <c r="T16" s="17"/>
      <c r="U16" s="17"/>
      <c r="V16" s="17"/>
    </row>
    <row r="17" spans="2:22" x14ac:dyDescent="0.2">
      <c r="B17" s="51">
        <v>1</v>
      </c>
      <c r="C17" s="79">
        <v>45103</v>
      </c>
      <c r="D17" s="52">
        <f t="shared" ref="D17:D26" si="0">+M17</f>
        <v>24</v>
      </c>
      <c r="E17" s="53">
        <f>+$F$12</f>
        <v>0.7</v>
      </c>
      <c r="F17" s="54">
        <v>9.09090905319411E-2</v>
      </c>
      <c r="G17" s="55">
        <f t="shared" ref="G17:G25" si="1">+$I$6*F17</f>
        <v>21912944</v>
      </c>
      <c r="H17" s="55">
        <f>ROUND(J16*E17/365*(C17-F7),0)</f>
        <v>14330465</v>
      </c>
      <c r="I17" s="55">
        <f t="shared" ref="I17:I26" si="2">+G17+H17</f>
        <v>36243409</v>
      </c>
      <c r="J17" s="56">
        <f t="shared" ref="J17:J25" si="3">+J16-G17</f>
        <v>219129441</v>
      </c>
      <c r="K17" s="49"/>
      <c r="M17" s="57">
        <f>+C17-$C$16</f>
        <v>24</v>
      </c>
      <c r="N17" s="58">
        <f>+I17/((1+$I$8)^(M17/365))</f>
        <v>34533660.507623494</v>
      </c>
      <c r="O17" s="59">
        <f t="shared" ref="O17:O22" si="4">+M17*N17</f>
        <v>828807852.18296385</v>
      </c>
      <c r="Q17" s="50">
        <f>J16*MAX(MIN($I$7+$Q$9,$Q$13),$Q$11)*(C17-F7)/365+G17</f>
        <v>41195096.568570212</v>
      </c>
      <c r="R17" s="60"/>
      <c r="S17" s="17"/>
      <c r="T17" s="17"/>
      <c r="U17" s="17"/>
      <c r="V17" s="17"/>
    </row>
    <row r="18" spans="2:22" x14ac:dyDescent="0.2">
      <c r="B18" s="51">
        <v>2</v>
      </c>
      <c r="C18" s="79">
        <v>45132</v>
      </c>
      <c r="D18" s="52">
        <f t="shared" si="0"/>
        <v>53</v>
      </c>
      <c r="E18" s="53">
        <f>+$F$12</f>
        <v>0.7</v>
      </c>
      <c r="F18" s="54">
        <v>9.09090905319411E-2</v>
      </c>
      <c r="G18" s="55">
        <f t="shared" si="1"/>
        <v>21912944</v>
      </c>
      <c r="H18" s="55">
        <f t="shared" ref="H18:H26" si="5">ROUND(J17*E18/365*(C18-C17),0)</f>
        <v>12187199</v>
      </c>
      <c r="I18" s="55">
        <f t="shared" si="2"/>
        <v>34100143</v>
      </c>
      <c r="J18" s="56">
        <f t="shared" si="3"/>
        <v>197216497</v>
      </c>
      <c r="K18" s="61"/>
      <c r="M18" s="57">
        <f t="shared" ref="M18:M26" si="6">+C18-$C$16</f>
        <v>53</v>
      </c>
      <c r="N18" s="58">
        <f>+I18/((1+$I$8)^(M18/365))</f>
        <v>30648637.949227706</v>
      </c>
      <c r="O18" s="59">
        <f t="shared" si="4"/>
        <v>1624377811.3090684</v>
      </c>
      <c r="Q18" s="50">
        <f>J17*MAX(MIN($I$7+$Q$9,$Q$13),$Q$11)*(C18-C17)/365+G18</f>
        <v>38311255.575381845</v>
      </c>
      <c r="R18" s="60"/>
      <c r="S18" s="17"/>
      <c r="T18" s="17"/>
      <c r="U18" s="17"/>
      <c r="V18" s="17"/>
    </row>
    <row r="19" spans="2:22" x14ac:dyDescent="0.2">
      <c r="B19" s="51">
        <v>3</v>
      </c>
      <c r="C19" s="79">
        <v>45163</v>
      </c>
      <c r="D19" s="52">
        <f t="shared" si="0"/>
        <v>84</v>
      </c>
      <c r="E19" s="53">
        <f>+$F$12</f>
        <v>0.7</v>
      </c>
      <c r="F19" s="54">
        <v>9.09090905319411E-2</v>
      </c>
      <c r="G19" s="55">
        <f t="shared" si="1"/>
        <v>21912944</v>
      </c>
      <c r="H19" s="55">
        <f t="shared" si="5"/>
        <v>11724926</v>
      </c>
      <c r="I19" s="55">
        <f t="shared" si="2"/>
        <v>33637870</v>
      </c>
      <c r="J19" s="56">
        <f t="shared" si="3"/>
        <v>175303553</v>
      </c>
      <c r="M19" s="57">
        <f t="shared" si="6"/>
        <v>84</v>
      </c>
      <c r="N19" s="58">
        <f t="shared" ref="N19:N26" si="7">+I19/((1+$I$8)^(M19/365))</f>
        <v>28403770.90767036</v>
      </c>
      <c r="O19" s="59">
        <f t="shared" si="4"/>
        <v>2385916756.2443104</v>
      </c>
      <c r="Q19" s="50">
        <f>J18*MAX(MIN($I$7+$Q$9,$Q$13),$Q$11)*(C19-C18)/365+G19</f>
        <v>37689250.661556512</v>
      </c>
      <c r="R19" s="60"/>
      <c r="S19" s="17"/>
      <c r="T19" s="17"/>
      <c r="U19" s="17"/>
      <c r="V19" s="17"/>
    </row>
    <row r="20" spans="2:22" ht="13.5" customHeight="1" x14ac:dyDescent="0.2">
      <c r="B20" s="51">
        <v>4</v>
      </c>
      <c r="C20" s="79">
        <v>45194</v>
      </c>
      <c r="D20" s="52">
        <f t="shared" si="0"/>
        <v>115</v>
      </c>
      <c r="E20" s="53">
        <f>+$F$12</f>
        <v>0.7</v>
      </c>
      <c r="F20" s="54">
        <v>9.09090905319411E-2</v>
      </c>
      <c r="G20" s="55">
        <f t="shared" si="1"/>
        <v>21912944</v>
      </c>
      <c r="H20" s="55">
        <f t="shared" si="5"/>
        <v>10422156</v>
      </c>
      <c r="I20" s="55">
        <f t="shared" si="2"/>
        <v>32335100</v>
      </c>
      <c r="J20" s="56">
        <f t="shared" si="3"/>
        <v>153390609</v>
      </c>
      <c r="M20" s="57">
        <f t="shared" si="6"/>
        <v>115</v>
      </c>
      <c r="N20" s="58">
        <f t="shared" si="7"/>
        <v>25651588.028553203</v>
      </c>
      <c r="O20" s="59">
        <f t="shared" si="4"/>
        <v>2949932623.2836185</v>
      </c>
      <c r="Q20" s="50">
        <f>J19*MAX(MIN($I$7+$Q$9,$Q$13),$Q$11)*(C20-C19)/365+G20</f>
        <v>35936327.708049655</v>
      </c>
    </row>
    <row r="21" spans="2:22" ht="13.5" customHeight="1" x14ac:dyDescent="0.2">
      <c r="B21" s="51">
        <v>5</v>
      </c>
      <c r="C21" s="79">
        <v>45224</v>
      </c>
      <c r="D21" s="52">
        <f t="shared" si="0"/>
        <v>145</v>
      </c>
      <c r="E21" s="53">
        <f>+$F$12</f>
        <v>0.7</v>
      </c>
      <c r="F21" s="54">
        <v>9.09090905319411E-2</v>
      </c>
      <c r="G21" s="55">
        <f t="shared" si="1"/>
        <v>21912944</v>
      </c>
      <c r="H21" s="55">
        <f t="shared" si="5"/>
        <v>8825213</v>
      </c>
      <c r="I21" s="55">
        <f t="shared" si="2"/>
        <v>30738157</v>
      </c>
      <c r="J21" s="56">
        <f t="shared" si="3"/>
        <v>131477665</v>
      </c>
      <c r="M21" s="57">
        <f t="shared" si="6"/>
        <v>145</v>
      </c>
      <c r="N21" s="58">
        <f t="shared" si="7"/>
        <v>22955398.772487715</v>
      </c>
      <c r="O21" s="59">
        <f t="shared" si="4"/>
        <v>3328532822.0107188</v>
      </c>
      <c r="Q21" s="50">
        <f>J20*MAX(MIN($I$7+$Q$9,$Q$13),$Q$11)*(C21-C20)/365+G21</f>
        <v>33787583.43988014</v>
      </c>
    </row>
    <row r="22" spans="2:22" ht="13.5" customHeight="1" x14ac:dyDescent="0.2">
      <c r="B22" s="51">
        <v>6</v>
      </c>
      <c r="C22" s="79">
        <v>45257</v>
      </c>
      <c r="D22" s="52">
        <f t="shared" si="0"/>
        <v>178</v>
      </c>
      <c r="E22" s="53">
        <f t="shared" ref="E22:E27" si="8">+$F$12</f>
        <v>0.7</v>
      </c>
      <c r="F22" s="54">
        <v>9.09090905319411E-2</v>
      </c>
      <c r="G22" s="55">
        <f t="shared" si="1"/>
        <v>21912944</v>
      </c>
      <c r="H22" s="55">
        <f t="shared" si="5"/>
        <v>8320915</v>
      </c>
      <c r="I22" s="55">
        <f t="shared" si="2"/>
        <v>30233859</v>
      </c>
      <c r="J22" s="56">
        <f t="shared" si="3"/>
        <v>109564721</v>
      </c>
      <c r="M22" s="57">
        <f t="shared" si="6"/>
        <v>178</v>
      </c>
      <c r="N22" s="58">
        <f t="shared" si="7"/>
        <v>21127312.998383082</v>
      </c>
      <c r="O22" s="59">
        <f t="shared" si="4"/>
        <v>3760661713.7121887</v>
      </c>
      <c r="Q22" s="50">
        <f t="shared" ref="Q22:Q27" si="9">J21*MAX(MIN($I$7+$Q$9,$Q$13),$Q$11)*(C22-C21)/365+G22</f>
        <v>33109032.626909249</v>
      </c>
    </row>
    <row r="23" spans="2:22" ht="13.5" customHeight="1" x14ac:dyDescent="0.2">
      <c r="B23" s="51">
        <v>7</v>
      </c>
      <c r="C23" s="79">
        <v>45286</v>
      </c>
      <c r="D23" s="52">
        <f t="shared" si="0"/>
        <v>207</v>
      </c>
      <c r="E23" s="53">
        <f t="shared" si="8"/>
        <v>0.7</v>
      </c>
      <c r="F23" s="54">
        <v>9.09090905319411E-2</v>
      </c>
      <c r="G23" s="55">
        <f t="shared" si="1"/>
        <v>21912944</v>
      </c>
      <c r="H23" s="55">
        <f t="shared" si="5"/>
        <v>6093600</v>
      </c>
      <c r="I23" s="55">
        <f t="shared" si="2"/>
        <v>28006544</v>
      </c>
      <c r="J23" s="56">
        <f t="shared" si="3"/>
        <v>87651777</v>
      </c>
      <c r="M23" s="57">
        <f t="shared" si="6"/>
        <v>207</v>
      </c>
      <c r="N23" s="58">
        <f>+I23/((1+$I$8)^(M23/365))</f>
        <v>18460846.310862362</v>
      </c>
      <c r="O23" s="59">
        <f t="shared" ref="O23" si="10">+M23*N23</f>
        <v>3821395186.3485088</v>
      </c>
      <c r="Q23" s="50">
        <f t="shared" si="9"/>
        <v>30112099.825107876</v>
      </c>
    </row>
    <row r="24" spans="2:22" ht="13.5" customHeight="1" x14ac:dyDescent="0.2">
      <c r="B24" s="51">
        <v>8</v>
      </c>
      <c r="C24" s="79">
        <v>45316</v>
      </c>
      <c r="D24" s="52">
        <f t="shared" si="0"/>
        <v>237</v>
      </c>
      <c r="E24" s="53">
        <f t="shared" si="8"/>
        <v>0.7</v>
      </c>
      <c r="F24" s="54">
        <v>9.09090905319411E-2</v>
      </c>
      <c r="G24" s="55">
        <f t="shared" si="1"/>
        <v>21912944</v>
      </c>
      <c r="H24" s="55">
        <f t="shared" si="5"/>
        <v>5042979</v>
      </c>
      <c r="I24" s="55">
        <f t="shared" si="2"/>
        <v>26955923</v>
      </c>
      <c r="J24" s="56">
        <f t="shared" si="3"/>
        <v>65738833</v>
      </c>
      <c r="M24" s="57">
        <f t="shared" si="6"/>
        <v>237</v>
      </c>
      <c r="N24" s="58">
        <f>+I24/((1+$I$8)^(M24/365))</f>
        <v>16726815.34767632</v>
      </c>
      <c r="O24" s="59">
        <f>+M24*N24</f>
        <v>3964255237.3992877</v>
      </c>
      <c r="Q24" s="50">
        <f t="shared" si="9"/>
        <v>28698452.284537673</v>
      </c>
    </row>
    <row r="25" spans="2:22" ht="13.5" customHeight="1" x14ac:dyDescent="0.2">
      <c r="B25" s="51">
        <v>9</v>
      </c>
      <c r="C25" s="79">
        <v>45348</v>
      </c>
      <c r="D25" s="52">
        <f t="shared" si="0"/>
        <v>269</v>
      </c>
      <c r="E25" s="53">
        <f t="shared" si="8"/>
        <v>0.7</v>
      </c>
      <c r="F25" s="54">
        <v>9.09090905319411E-2</v>
      </c>
      <c r="G25" s="55">
        <f t="shared" si="1"/>
        <v>21912944</v>
      </c>
      <c r="H25" s="55">
        <f t="shared" si="5"/>
        <v>4034383</v>
      </c>
      <c r="I25" s="55">
        <f t="shared" si="2"/>
        <v>25947327</v>
      </c>
      <c r="J25" s="56">
        <f t="shared" si="3"/>
        <v>43825889</v>
      </c>
      <c r="M25" s="57">
        <f t="shared" si="6"/>
        <v>269</v>
      </c>
      <c r="N25" s="58">
        <f t="shared" si="7"/>
        <v>15096274.385887576</v>
      </c>
      <c r="O25" s="59">
        <f>+M25*N25</f>
        <v>4060897809.8037581</v>
      </c>
      <c r="Q25" s="50">
        <f t="shared" si="9"/>
        <v>27341350.648273975</v>
      </c>
    </row>
    <row r="26" spans="2:22" ht="13.5" customHeight="1" x14ac:dyDescent="0.2">
      <c r="B26" s="51">
        <v>10</v>
      </c>
      <c r="C26" s="79">
        <v>45376</v>
      </c>
      <c r="D26" s="52">
        <f t="shared" si="0"/>
        <v>297</v>
      </c>
      <c r="E26" s="53">
        <f t="shared" si="8"/>
        <v>0.7</v>
      </c>
      <c r="F26" s="54">
        <v>9.09090905319411E-2</v>
      </c>
      <c r="G26" s="55">
        <f>+$I$6*F26</f>
        <v>21912944</v>
      </c>
      <c r="H26" s="55">
        <f t="shared" si="5"/>
        <v>2353390</v>
      </c>
      <c r="I26" s="55">
        <f t="shared" si="2"/>
        <v>24266334</v>
      </c>
      <c r="J26" s="56">
        <f t="shared" ref="J26" si="11">+J25-G26</f>
        <v>21912945</v>
      </c>
      <c r="M26" s="57">
        <f t="shared" si="6"/>
        <v>297</v>
      </c>
      <c r="N26" s="58">
        <f t="shared" si="7"/>
        <v>13344342.018183962</v>
      </c>
      <c r="O26" s="59">
        <f>+M26*N26</f>
        <v>3963269579.4006367</v>
      </c>
      <c r="Q26" s="50">
        <f t="shared" si="9"/>
        <v>25079514.56891096</v>
      </c>
    </row>
    <row r="27" spans="2:22" ht="13.5" customHeight="1" x14ac:dyDescent="0.2">
      <c r="B27" s="51"/>
      <c r="C27" s="79">
        <v>45407</v>
      </c>
      <c r="D27" s="52">
        <f t="shared" ref="D27" si="12">+M27</f>
        <v>328</v>
      </c>
      <c r="E27" s="53">
        <f t="shared" si="8"/>
        <v>0.7</v>
      </c>
      <c r="F27" s="54">
        <v>9.0909094680589053E-2</v>
      </c>
      <c r="G27" s="55">
        <f>+$I$6*F27</f>
        <v>21912945</v>
      </c>
      <c r="H27" s="55">
        <f t="shared" ref="H27" si="13">ROUND(J26*E27/365*(C27-C26),0)</f>
        <v>1302770</v>
      </c>
      <c r="I27" s="55">
        <f t="shared" ref="I27" si="14">+G27+H27</f>
        <v>23215715</v>
      </c>
      <c r="J27" s="56">
        <f t="shared" ref="J27" si="15">+J26-G27</f>
        <v>0</v>
      </c>
      <c r="M27" s="57">
        <f>+C27-$C$16</f>
        <v>328</v>
      </c>
      <c r="N27" s="58">
        <f>+I27/((1+$I$8)^(M27/365))</f>
        <v>11994097.970478062</v>
      </c>
      <c r="O27" s="59">
        <f>+M27*N27</f>
        <v>3934064134.3168044</v>
      </c>
      <c r="Q27" s="50">
        <f t="shared" si="9"/>
        <v>23665868.033501714</v>
      </c>
    </row>
    <row r="28" spans="2:22" ht="13.5" customHeight="1" x14ac:dyDescent="0.2">
      <c r="C28" s="86"/>
      <c r="D28" s="87"/>
      <c r="E28" s="88"/>
      <c r="F28" s="62">
        <f>+SUM(F17:F27)</f>
        <v>0.99999999999999989</v>
      </c>
      <c r="G28" s="63">
        <f t="shared" ref="G28:I28" si="16">+SUM(G17:G27)</f>
        <v>241042385</v>
      </c>
      <c r="H28" s="63">
        <f t="shared" si="16"/>
        <v>84637996</v>
      </c>
      <c r="I28" s="63">
        <f t="shared" si="16"/>
        <v>325680381</v>
      </c>
      <c r="J28" s="85"/>
      <c r="M28" s="57"/>
      <c r="N28" s="64">
        <f>+SUM(N17:N27)</f>
        <v>238942745.19703382</v>
      </c>
      <c r="O28" s="65">
        <f>+SUM(O17:O27)</f>
        <v>34622111526.011864</v>
      </c>
      <c r="Q28" s="65">
        <f>+SUM(Q17:Q27)</f>
        <v>354925831.94067979</v>
      </c>
    </row>
    <row r="29" spans="2:22" ht="13.5" customHeight="1" x14ac:dyDescent="0.2">
      <c r="C29" s="57"/>
      <c r="D29" s="57"/>
      <c r="E29" s="57"/>
      <c r="F29" s="57"/>
      <c r="G29" s="57"/>
      <c r="H29" s="57"/>
      <c r="I29" s="57"/>
      <c r="J29" s="57"/>
      <c r="M29" s="57"/>
      <c r="N29" s="66"/>
      <c r="O29" s="66"/>
      <c r="Q29" s="66"/>
    </row>
    <row r="30" spans="2:22" ht="13.5" customHeight="1" x14ac:dyDescent="0.2">
      <c r="C30" s="107" t="s">
        <v>14</v>
      </c>
      <c r="D30" s="108"/>
      <c r="E30" s="108"/>
      <c r="F30" s="108"/>
      <c r="G30" s="108"/>
      <c r="H30" s="108"/>
      <c r="I30" s="108"/>
      <c r="J30" s="109"/>
      <c r="M30" s="57"/>
      <c r="N30" s="66"/>
      <c r="O30" s="66"/>
      <c r="Q30" s="66"/>
    </row>
    <row r="31" spans="2:22" ht="13.5" customHeight="1" x14ac:dyDescent="0.2">
      <c r="C31" s="110"/>
      <c r="D31" s="111"/>
      <c r="E31" s="111"/>
      <c r="F31" s="111"/>
      <c r="G31" s="111"/>
      <c r="H31" s="111"/>
      <c r="I31" s="111"/>
      <c r="J31" s="112"/>
      <c r="M31" s="57"/>
      <c r="N31" s="66"/>
      <c r="O31" s="66"/>
      <c r="Q31" s="66"/>
    </row>
    <row r="32" spans="2:22" x14ac:dyDescent="0.2">
      <c r="C32" s="110"/>
      <c r="D32" s="111"/>
      <c r="E32" s="111"/>
      <c r="F32" s="111"/>
      <c r="G32" s="111"/>
      <c r="H32" s="111"/>
      <c r="I32" s="111"/>
      <c r="J32" s="112"/>
      <c r="M32" s="57"/>
      <c r="N32" s="66"/>
      <c r="O32" s="67"/>
      <c r="Q32" s="67"/>
    </row>
    <row r="33" spans="3:17" x14ac:dyDescent="0.2">
      <c r="C33" s="110"/>
      <c r="D33" s="111"/>
      <c r="E33" s="111"/>
      <c r="F33" s="111"/>
      <c r="G33" s="111"/>
      <c r="H33" s="111"/>
      <c r="I33" s="111"/>
      <c r="J33" s="112"/>
      <c r="M33" s="57"/>
      <c r="N33" s="66"/>
      <c r="O33" s="67"/>
      <c r="Q33" s="67"/>
    </row>
    <row r="34" spans="3:17" x14ac:dyDescent="0.2">
      <c r="C34" s="110"/>
      <c r="D34" s="111"/>
      <c r="E34" s="111"/>
      <c r="F34" s="111"/>
      <c r="G34" s="111"/>
      <c r="H34" s="111"/>
      <c r="I34" s="111"/>
      <c r="J34" s="112"/>
      <c r="M34" s="57"/>
      <c r="N34" s="66"/>
      <c r="O34" s="67"/>
      <c r="Q34" s="67"/>
    </row>
    <row r="35" spans="3:17" x14ac:dyDescent="0.2">
      <c r="C35" s="110"/>
      <c r="D35" s="111"/>
      <c r="E35" s="111"/>
      <c r="F35" s="111"/>
      <c r="G35" s="111"/>
      <c r="H35" s="111"/>
      <c r="I35" s="111"/>
      <c r="J35" s="112"/>
    </row>
    <row r="36" spans="3:17" ht="18" customHeight="1" x14ac:dyDescent="0.2">
      <c r="C36" s="113"/>
      <c r="D36" s="114"/>
      <c r="E36" s="114"/>
      <c r="F36" s="114"/>
      <c r="G36" s="114"/>
      <c r="H36" s="114"/>
      <c r="I36" s="114"/>
      <c r="J36" s="115"/>
    </row>
    <row r="37" spans="3:17" ht="12.75" customHeight="1" x14ac:dyDescent="0.2">
      <c r="C37" s="8"/>
      <c r="D37" s="8"/>
      <c r="E37" s="8"/>
      <c r="G37" s="42"/>
      <c r="I37" s="60"/>
    </row>
    <row r="38" spans="3:17" ht="12.75" customHeight="1" x14ac:dyDescent="0.2">
      <c r="G38" s="68"/>
      <c r="I38" s="58"/>
    </row>
    <row r="39" spans="3:17" ht="12.75" customHeight="1" x14ac:dyDescent="0.2">
      <c r="C39" s="83"/>
      <c r="D39" s="83"/>
      <c r="E39" s="83"/>
      <c r="F39" s="83"/>
      <c r="G39" s="83"/>
      <c r="H39" s="83"/>
      <c r="I39" s="83"/>
      <c r="J39" s="83"/>
      <c r="K39" s="13"/>
      <c r="L39" s="13"/>
    </row>
    <row r="40" spans="3:17" ht="12.75" customHeight="1" x14ac:dyDescent="0.2">
      <c r="C40" s="83"/>
      <c r="D40" s="83"/>
      <c r="E40" s="83"/>
      <c r="F40" s="83"/>
      <c r="G40" s="83"/>
      <c r="H40" s="83"/>
      <c r="I40" s="83"/>
      <c r="J40" s="83"/>
      <c r="K40" s="13"/>
      <c r="L40" s="13"/>
    </row>
    <row r="41" spans="3:17" x14ac:dyDescent="0.2">
      <c r="C41" s="83"/>
      <c r="D41" s="83"/>
      <c r="E41" s="83"/>
      <c r="F41" s="83"/>
      <c r="G41" s="83"/>
      <c r="H41" s="83"/>
      <c r="I41" s="83"/>
      <c r="J41" s="83"/>
      <c r="K41" s="13"/>
      <c r="L41" s="13"/>
    </row>
    <row r="42" spans="3:17" x14ac:dyDescent="0.2">
      <c r="C42" s="83"/>
      <c r="D42" s="83"/>
      <c r="E42" s="83"/>
      <c r="F42" s="83"/>
      <c r="G42" s="83"/>
      <c r="H42" s="83"/>
      <c r="I42" s="83"/>
      <c r="J42" s="83"/>
      <c r="K42" s="13"/>
      <c r="L42" s="13"/>
    </row>
    <row r="43" spans="3:17" x14ac:dyDescent="0.2">
      <c r="C43" s="83"/>
      <c r="D43" s="83"/>
      <c r="E43" s="83"/>
      <c r="F43" s="83"/>
      <c r="G43" s="83"/>
      <c r="H43" s="83"/>
      <c r="I43" s="83"/>
      <c r="J43" s="83"/>
      <c r="K43" s="13"/>
      <c r="L43" s="13"/>
    </row>
    <row r="44" spans="3:17" x14ac:dyDescent="0.2">
      <c r="C44" s="83"/>
      <c r="D44" s="83"/>
      <c r="E44" s="83"/>
      <c r="F44" s="83"/>
      <c r="G44" s="83"/>
      <c r="H44" s="83"/>
      <c r="I44" s="83"/>
      <c r="J44" s="83"/>
      <c r="K44" s="13"/>
      <c r="L44" s="13"/>
    </row>
    <row r="45" spans="3:17" x14ac:dyDescent="0.2">
      <c r="C45" s="83"/>
      <c r="D45" s="83"/>
      <c r="E45" s="83"/>
      <c r="F45" s="83"/>
      <c r="G45" s="83"/>
      <c r="H45" s="83"/>
      <c r="I45" s="83"/>
      <c r="J45" s="83"/>
      <c r="K45" s="13"/>
      <c r="L45" s="13"/>
    </row>
    <row r="46" spans="3:17" x14ac:dyDescent="0.2">
      <c r="C46" s="83"/>
      <c r="D46" s="83"/>
      <c r="E46" s="83"/>
      <c r="F46" s="83"/>
      <c r="G46" s="83"/>
      <c r="H46" s="83"/>
      <c r="I46" s="83"/>
      <c r="J46" s="83"/>
      <c r="K46" s="13"/>
      <c r="L46" s="13"/>
    </row>
    <row r="47" spans="3:17" x14ac:dyDescent="0.2">
      <c r="C47" s="69"/>
      <c r="D47" s="69"/>
      <c r="E47" s="69"/>
      <c r="F47" s="69"/>
      <c r="G47" s="69"/>
      <c r="H47" s="69"/>
      <c r="I47" s="69"/>
      <c r="J47" s="69"/>
      <c r="K47" s="13"/>
      <c r="L47" s="13"/>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0:J36"/>
  </mergeCells>
  <conditionalFormatting sqref="G17:G27">
    <cfRule type="cellIs" dxfId="2" priority="3"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9"/>
  <sheetViews>
    <sheetView showGridLines="0" zoomScale="80" zoomScaleNormal="80" zoomScalePageLayoutView="50" workbookViewId="0"/>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9.425781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0" x14ac:dyDescent="0.2">
      <c r="C1" s="8"/>
      <c r="D1" s="8"/>
      <c r="E1" s="8"/>
      <c r="R1" s="4"/>
    </row>
    <row r="2" spans="3:20" x14ac:dyDescent="0.2">
      <c r="C2" s="8"/>
      <c r="D2" s="8"/>
      <c r="E2" s="8"/>
      <c r="R2" s="4"/>
      <c r="S2" s="7"/>
    </row>
    <row r="3" spans="3:20" ht="18.75" x14ac:dyDescent="0.2">
      <c r="C3" s="9" t="s">
        <v>36</v>
      </c>
      <c r="D3" s="10"/>
      <c r="E3" s="11"/>
      <c r="F3" s="11"/>
      <c r="G3" s="11"/>
      <c r="H3" s="11"/>
      <c r="I3" s="11"/>
      <c r="J3" s="11"/>
      <c r="K3" s="11"/>
      <c r="M3" s="12"/>
      <c r="N3" s="12"/>
      <c r="O3" s="12"/>
      <c r="P3" s="12"/>
      <c r="Q3" s="12"/>
      <c r="R3" s="6"/>
      <c r="S3" s="8"/>
      <c r="T3" s="8"/>
    </row>
    <row r="4" spans="3:20" x14ac:dyDescent="0.2">
      <c r="C4" s="8"/>
      <c r="D4" s="8"/>
      <c r="E4" s="8"/>
      <c r="M4" s="12"/>
      <c r="N4" s="12"/>
      <c r="O4" s="12"/>
      <c r="P4" s="12"/>
      <c r="Q4" s="12"/>
      <c r="R4" s="5"/>
      <c r="S4" s="8"/>
      <c r="T4" s="8"/>
    </row>
    <row r="5" spans="3:20" x14ac:dyDescent="0.2">
      <c r="C5" s="8"/>
      <c r="D5" s="8"/>
      <c r="E5" s="8"/>
      <c r="M5" s="13"/>
      <c r="O5" s="13"/>
      <c r="P5" s="13"/>
      <c r="Q5" s="13"/>
      <c r="R5" s="5"/>
      <c r="S5" s="8"/>
      <c r="T5" s="8"/>
    </row>
    <row r="6" spans="3:20" x14ac:dyDescent="0.2">
      <c r="C6" s="106"/>
      <c r="D6" s="106"/>
      <c r="E6" s="106"/>
      <c r="F6" s="106"/>
      <c r="H6" s="14"/>
      <c r="I6" s="15">
        <v>13100130</v>
      </c>
      <c r="J6" s="16" t="s">
        <v>0</v>
      </c>
      <c r="R6" s="5"/>
      <c r="S6" s="8"/>
      <c r="T6" s="8"/>
    </row>
    <row r="7" spans="3:20" x14ac:dyDescent="0.2">
      <c r="C7" s="18" t="s">
        <v>18</v>
      </c>
      <c r="D7" s="19"/>
      <c r="E7" s="20"/>
      <c r="F7" s="81">
        <f>+VDFA!F7</f>
        <v>45072</v>
      </c>
      <c r="H7" s="21" t="s">
        <v>13</v>
      </c>
      <c r="I7" s="22">
        <f>+VDFA!I7</f>
        <v>0.93187500000000001</v>
      </c>
      <c r="J7" s="16" t="s">
        <v>0</v>
      </c>
      <c r="R7" s="5"/>
      <c r="S7" s="8"/>
      <c r="T7" s="8"/>
    </row>
    <row r="8" spans="3:20" x14ac:dyDescent="0.2">
      <c r="C8" s="23" t="s">
        <v>12</v>
      </c>
      <c r="D8" s="18"/>
      <c r="E8" s="20"/>
      <c r="F8" s="81">
        <f>+VDFA!F8</f>
        <v>45079</v>
      </c>
      <c r="H8" s="14"/>
      <c r="I8" s="24">
        <v>0.78469999999999995</v>
      </c>
      <c r="J8" s="16" t="s">
        <v>0</v>
      </c>
      <c r="Q8" s="4" t="s">
        <v>25</v>
      </c>
      <c r="R8" s="5"/>
      <c r="S8" s="8"/>
      <c r="T8" s="8"/>
    </row>
    <row r="9" spans="3:20" x14ac:dyDescent="0.2">
      <c r="C9" s="18" t="s">
        <v>27</v>
      </c>
      <c r="D9" s="19"/>
      <c r="E9" s="20"/>
      <c r="F9" s="25">
        <v>13100130</v>
      </c>
      <c r="H9" s="21" t="s">
        <v>20</v>
      </c>
      <c r="I9" s="26">
        <f>+N30/I6</f>
        <v>0.97637913671516219</v>
      </c>
      <c r="M9" s="96"/>
      <c r="N9" s="97"/>
      <c r="O9" s="98"/>
      <c r="Q9" s="27">
        <v>0.02</v>
      </c>
      <c r="R9" s="5"/>
      <c r="S9" s="8"/>
      <c r="T9" s="8"/>
    </row>
    <row r="10" spans="3:20" x14ac:dyDescent="0.2">
      <c r="C10" s="18" t="s">
        <v>1</v>
      </c>
      <c r="D10" s="19"/>
      <c r="E10" s="20"/>
      <c r="F10" s="28" t="s">
        <v>2</v>
      </c>
      <c r="H10" s="29" t="s">
        <v>19</v>
      </c>
      <c r="I10" s="30">
        <f>+XIRR(Q16:Q29,C16:C29)</f>
        <v>1.0326367497444153</v>
      </c>
      <c r="M10" s="96"/>
      <c r="N10" s="97"/>
      <c r="O10" s="98"/>
      <c r="Q10" s="4" t="s">
        <v>23</v>
      </c>
      <c r="R10" s="5"/>
      <c r="S10" s="8"/>
      <c r="T10" s="8"/>
    </row>
    <row r="11" spans="3:20" x14ac:dyDescent="0.2">
      <c r="C11" s="18" t="s">
        <v>30</v>
      </c>
      <c r="D11" s="19"/>
      <c r="E11" s="20"/>
      <c r="F11" s="28" t="s">
        <v>39</v>
      </c>
      <c r="H11" s="29" t="s">
        <v>26</v>
      </c>
      <c r="I11" s="30">
        <f>+NOMINAL(I10,1)</f>
        <v>1.0326367497444151</v>
      </c>
      <c r="J11" s="31" t="str">
        <f>+IF(ROUND((I11-I7),4)&gt;=0,"Badlar +"&amp;TEXT(ROUND((I11-I7),4)," 0,00%"),"Badlar "&amp;TEXT(ROUND((I11-I7),4)," 0,00%"))</f>
        <v>Badlar + 10,08%</v>
      </c>
      <c r="Q11" s="32">
        <f>+$F$12</f>
        <v>0.72</v>
      </c>
      <c r="R11" s="5"/>
      <c r="S11" s="8"/>
      <c r="T11" s="8"/>
    </row>
    <row r="12" spans="3:20" x14ac:dyDescent="0.2">
      <c r="C12" s="33" t="s">
        <v>16</v>
      </c>
      <c r="F12" s="35">
        <v>0.72</v>
      </c>
      <c r="G12" s="16"/>
      <c r="N12" s="99"/>
      <c r="Q12" s="4" t="s">
        <v>24</v>
      </c>
      <c r="R12" s="5"/>
      <c r="S12" s="8"/>
      <c r="T12" s="8"/>
    </row>
    <row r="13" spans="3:20" x14ac:dyDescent="0.2">
      <c r="C13" s="36" t="s">
        <v>17</v>
      </c>
      <c r="D13" s="37"/>
      <c r="E13" s="38"/>
      <c r="F13" s="39" t="s">
        <v>40</v>
      </c>
      <c r="H13" s="40" t="s">
        <v>21</v>
      </c>
      <c r="I13" s="41">
        <f>+O30/N30/365*12</f>
        <v>12.11403028090303</v>
      </c>
      <c r="Q13" s="27">
        <v>1.17</v>
      </c>
      <c r="R13" s="5"/>
      <c r="S13" s="8"/>
      <c r="T13" s="8"/>
    </row>
    <row r="14" spans="3:20" x14ac:dyDescent="0.2">
      <c r="C14" s="8"/>
      <c r="D14" s="8"/>
      <c r="E14" s="8"/>
      <c r="S14" s="8"/>
      <c r="T14" s="8"/>
    </row>
    <row r="15" spans="3:20" ht="15.75" x14ac:dyDescent="0.2">
      <c r="C15" s="1" t="s">
        <v>3</v>
      </c>
      <c r="D15" s="1" t="s">
        <v>9</v>
      </c>
      <c r="E15" s="1" t="s">
        <v>28</v>
      </c>
      <c r="F15" s="1" t="s">
        <v>4</v>
      </c>
      <c r="G15" s="1" t="s">
        <v>5</v>
      </c>
      <c r="H15" s="1" t="s">
        <v>6</v>
      </c>
      <c r="I15" s="1" t="s">
        <v>7</v>
      </c>
      <c r="J15" s="1" t="s">
        <v>8</v>
      </c>
      <c r="K15" s="43"/>
      <c r="L15" s="4"/>
      <c r="M15" s="2" t="s">
        <v>9</v>
      </c>
      <c r="N15" s="2" t="s">
        <v>10</v>
      </c>
      <c r="O15" s="2" t="s">
        <v>11</v>
      </c>
      <c r="Q15" s="2" t="s">
        <v>22</v>
      </c>
      <c r="S15" s="8"/>
      <c r="T15" s="8"/>
    </row>
    <row r="16" spans="3:20" x14ac:dyDescent="0.2">
      <c r="C16" s="78">
        <f>+F8</f>
        <v>45079</v>
      </c>
      <c r="D16" s="45"/>
      <c r="E16" s="44"/>
      <c r="F16" s="46"/>
      <c r="G16" s="46"/>
      <c r="H16" s="46"/>
      <c r="I16" s="47"/>
      <c r="J16" s="48">
        <f>+$F$9</f>
        <v>13100130</v>
      </c>
      <c r="K16" s="49"/>
      <c r="Q16" s="50">
        <f>+-(I6*I9)</f>
        <v>-12790693.620256398</v>
      </c>
      <c r="S16" s="8"/>
      <c r="T16" s="8"/>
    </row>
    <row r="17" spans="2:20" x14ac:dyDescent="0.2">
      <c r="B17" s="51">
        <v>1</v>
      </c>
      <c r="C17" s="79">
        <v>45103</v>
      </c>
      <c r="D17" s="52">
        <f t="shared" ref="D17:D27" si="0">+M17</f>
        <v>24</v>
      </c>
      <c r="E17" s="53">
        <f>+$F$12</f>
        <v>0.72</v>
      </c>
      <c r="F17" s="54">
        <v>0</v>
      </c>
      <c r="G17" s="55">
        <f t="shared" ref="G17:G25" si="1">+$I$6*F17</f>
        <v>0</v>
      </c>
      <c r="H17" s="55">
        <v>0</v>
      </c>
      <c r="I17" s="55">
        <f t="shared" ref="I17:I27" si="2">+G17+H17</f>
        <v>0</v>
      </c>
      <c r="J17" s="56">
        <f t="shared" ref="J17:J27" si="3">+J16-G17</f>
        <v>13100130</v>
      </c>
      <c r="K17" s="49"/>
      <c r="M17" s="57">
        <f>+C17-$C$16</f>
        <v>24</v>
      </c>
      <c r="N17" s="58">
        <f>+I17/((1+$I$8)^(M17/365))</f>
        <v>0</v>
      </c>
      <c r="O17" s="59">
        <f t="shared" ref="O17:O23" si="4">+M17*N17</f>
        <v>0</v>
      </c>
      <c r="Q17" s="50">
        <v>0</v>
      </c>
      <c r="R17" s="60"/>
      <c r="S17" s="8"/>
      <c r="T17" s="8"/>
    </row>
    <row r="18" spans="2:20" x14ac:dyDescent="0.2">
      <c r="B18" s="51">
        <v>2</v>
      </c>
      <c r="C18" s="79">
        <v>45132</v>
      </c>
      <c r="D18" s="52">
        <f t="shared" si="0"/>
        <v>53</v>
      </c>
      <c r="E18" s="53">
        <f>+$F$12</f>
        <v>0.72</v>
      </c>
      <c r="F18" s="54">
        <v>0</v>
      </c>
      <c r="G18" s="55">
        <f t="shared" si="1"/>
        <v>0</v>
      </c>
      <c r="H18" s="55">
        <v>0</v>
      </c>
      <c r="I18" s="55">
        <f t="shared" si="2"/>
        <v>0</v>
      </c>
      <c r="J18" s="56">
        <f t="shared" si="3"/>
        <v>13100130</v>
      </c>
      <c r="K18" s="61"/>
      <c r="M18" s="57">
        <f t="shared" ref="M18:M26" si="5">+C18-$C$16</f>
        <v>53</v>
      </c>
      <c r="N18" s="58">
        <f t="shared" ref="N18:N26" si="6">+I18/((1+$I$8)^(M18/365))</f>
        <v>0</v>
      </c>
      <c r="O18" s="59">
        <f t="shared" si="4"/>
        <v>0</v>
      </c>
      <c r="Q18" s="50">
        <v>0</v>
      </c>
      <c r="R18" s="60"/>
    </row>
    <row r="19" spans="2:20" x14ac:dyDescent="0.2">
      <c r="B19" s="51">
        <v>3</v>
      </c>
      <c r="C19" s="79">
        <v>45163</v>
      </c>
      <c r="D19" s="52">
        <f t="shared" si="0"/>
        <v>84</v>
      </c>
      <c r="E19" s="53">
        <f>+$F$12</f>
        <v>0.72</v>
      </c>
      <c r="F19" s="54">
        <v>0</v>
      </c>
      <c r="G19" s="55">
        <f t="shared" si="1"/>
        <v>0</v>
      </c>
      <c r="H19" s="55">
        <v>0</v>
      </c>
      <c r="I19" s="55">
        <f t="shared" si="2"/>
        <v>0</v>
      </c>
      <c r="J19" s="56">
        <f t="shared" si="3"/>
        <v>13100130</v>
      </c>
      <c r="M19" s="57">
        <f t="shared" si="5"/>
        <v>84</v>
      </c>
      <c r="N19" s="58">
        <f t="shared" si="6"/>
        <v>0</v>
      </c>
      <c r="O19" s="59">
        <f t="shared" si="4"/>
        <v>0</v>
      </c>
      <c r="Q19" s="50">
        <v>0</v>
      </c>
      <c r="R19" s="60"/>
    </row>
    <row r="20" spans="2:20" ht="13.5" customHeight="1" x14ac:dyDescent="0.2">
      <c r="B20" s="51">
        <v>4</v>
      </c>
      <c r="C20" s="79">
        <v>45194</v>
      </c>
      <c r="D20" s="52">
        <f t="shared" si="0"/>
        <v>115</v>
      </c>
      <c r="E20" s="53">
        <f>+$F$12</f>
        <v>0.72</v>
      </c>
      <c r="F20" s="54">
        <v>0</v>
      </c>
      <c r="G20" s="55">
        <f t="shared" si="1"/>
        <v>0</v>
      </c>
      <c r="H20" s="55">
        <v>0</v>
      </c>
      <c r="I20" s="55">
        <f t="shared" si="2"/>
        <v>0</v>
      </c>
      <c r="J20" s="56">
        <f t="shared" si="3"/>
        <v>13100130</v>
      </c>
      <c r="M20" s="57">
        <f t="shared" si="5"/>
        <v>115</v>
      </c>
      <c r="N20" s="58">
        <f t="shared" si="6"/>
        <v>0</v>
      </c>
      <c r="O20" s="59">
        <f t="shared" si="4"/>
        <v>0</v>
      </c>
      <c r="Q20" s="50">
        <v>0</v>
      </c>
    </row>
    <row r="21" spans="2:20" ht="13.5" customHeight="1" x14ac:dyDescent="0.2">
      <c r="B21" s="51">
        <v>5</v>
      </c>
      <c r="C21" s="79">
        <v>45224</v>
      </c>
      <c r="D21" s="52">
        <f t="shared" si="0"/>
        <v>145</v>
      </c>
      <c r="E21" s="53">
        <f>+$F$12</f>
        <v>0.72</v>
      </c>
      <c r="F21" s="54">
        <v>0</v>
      </c>
      <c r="G21" s="55">
        <f t="shared" si="1"/>
        <v>0</v>
      </c>
      <c r="H21" s="55">
        <v>0</v>
      </c>
      <c r="I21" s="55">
        <f t="shared" si="2"/>
        <v>0</v>
      </c>
      <c r="J21" s="56">
        <f t="shared" si="3"/>
        <v>13100130</v>
      </c>
      <c r="M21" s="57">
        <f t="shared" si="5"/>
        <v>145</v>
      </c>
      <c r="N21" s="58">
        <f t="shared" si="6"/>
        <v>0</v>
      </c>
      <c r="O21" s="59">
        <f t="shared" si="4"/>
        <v>0</v>
      </c>
      <c r="Q21" s="50">
        <v>0</v>
      </c>
    </row>
    <row r="22" spans="2:20" ht="13.5" customHeight="1" x14ac:dyDescent="0.2">
      <c r="B22" s="51">
        <v>6</v>
      </c>
      <c r="C22" s="79">
        <v>45257</v>
      </c>
      <c r="D22" s="52">
        <f t="shared" si="0"/>
        <v>178</v>
      </c>
      <c r="E22" s="53">
        <f t="shared" ref="E22:E29" si="7">+$F$12</f>
        <v>0.72</v>
      </c>
      <c r="F22" s="54">
        <v>0</v>
      </c>
      <c r="G22" s="55">
        <f t="shared" si="1"/>
        <v>0</v>
      </c>
      <c r="H22" s="55">
        <v>0</v>
      </c>
      <c r="I22" s="55">
        <f t="shared" si="2"/>
        <v>0</v>
      </c>
      <c r="J22" s="56">
        <f t="shared" si="3"/>
        <v>13100130</v>
      </c>
      <c r="M22" s="57">
        <f t="shared" si="5"/>
        <v>178</v>
      </c>
      <c r="N22" s="58">
        <f t="shared" si="6"/>
        <v>0</v>
      </c>
      <c r="O22" s="59">
        <f t="shared" si="4"/>
        <v>0</v>
      </c>
      <c r="Q22" s="50">
        <v>0</v>
      </c>
    </row>
    <row r="23" spans="2:20" ht="13.5" customHeight="1" x14ac:dyDescent="0.2">
      <c r="B23" s="51">
        <v>7</v>
      </c>
      <c r="C23" s="79">
        <v>45286</v>
      </c>
      <c r="D23" s="52">
        <f t="shared" si="0"/>
        <v>207</v>
      </c>
      <c r="E23" s="53">
        <f t="shared" si="7"/>
        <v>0.72</v>
      </c>
      <c r="F23" s="54">
        <v>0</v>
      </c>
      <c r="G23" s="55">
        <f t="shared" si="1"/>
        <v>0</v>
      </c>
      <c r="H23" s="55">
        <v>0</v>
      </c>
      <c r="I23" s="55">
        <f t="shared" si="2"/>
        <v>0</v>
      </c>
      <c r="J23" s="56">
        <f t="shared" si="3"/>
        <v>13100130</v>
      </c>
      <c r="M23" s="57">
        <f t="shared" si="5"/>
        <v>207</v>
      </c>
      <c r="N23" s="58">
        <f t="shared" si="6"/>
        <v>0</v>
      </c>
      <c r="O23" s="59">
        <f t="shared" si="4"/>
        <v>0</v>
      </c>
      <c r="Q23" s="50">
        <v>0</v>
      </c>
    </row>
    <row r="24" spans="2:20" ht="13.5" customHeight="1" x14ac:dyDescent="0.2">
      <c r="B24" s="51">
        <v>8</v>
      </c>
      <c r="C24" s="79">
        <v>45316</v>
      </c>
      <c r="D24" s="52">
        <f t="shared" si="0"/>
        <v>237</v>
      </c>
      <c r="E24" s="53">
        <f t="shared" si="7"/>
        <v>0.72</v>
      </c>
      <c r="F24" s="54">
        <v>0</v>
      </c>
      <c r="G24" s="55">
        <f t="shared" si="1"/>
        <v>0</v>
      </c>
      <c r="H24" s="55">
        <v>0</v>
      </c>
      <c r="I24" s="55">
        <f t="shared" si="2"/>
        <v>0</v>
      </c>
      <c r="J24" s="56">
        <f t="shared" si="3"/>
        <v>13100130</v>
      </c>
      <c r="M24" s="57">
        <f t="shared" si="5"/>
        <v>237</v>
      </c>
      <c r="N24" s="58">
        <f t="shared" si="6"/>
        <v>0</v>
      </c>
      <c r="O24" s="59">
        <f>+M24*N24</f>
        <v>0</v>
      </c>
      <c r="Q24" s="50">
        <v>0</v>
      </c>
    </row>
    <row r="25" spans="2:20" ht="13.5" customHeight="1" x14ac:dyDescent="0.2">
      <c r="B25" s="51">
        <v>9</v>
      </c>
      <c r="C25" s="79">
        <v>45348</v>
      </c>
      <c r="D25" s="52">
        <f t="shared" si="0"/>
        <v>269</v>
      </c>
      <c r="E25" s="53">
        <f t="shared" si="7"/>
        <v>0.72</v>
      </c>
      <c r="F25" s="54">
        <v>0</v>
      </c>
      <c r="G25" s="55">
        <f t="shared" si="1"/>
        <v>0</v>
      </c>
      <c r="H25" s="55">
        <v>0</v>
      </c>
      <c r="I25" s="55">
        <f t="shared" si="2"/>
        <v>0</v>
      </c>
      <c r="J25" s="56">
        <f t="shared" si="3"/>
        <v>13100130</v>
      </c>
      <c r="M25" s="57">
        <f t="shared" si="5"/>
        <v>269</v>
      </c>
      <c r="N25" s="58">
        <f t="shared" si="6"/>
        <v>0</v>
      </c>
      <c r="O25" s="59">
        <f>+M25*N25</f>
        <v>0</v>
      </c>
      <c r="Q25" s="50">
        <v>0</v>
      </c>
    </row>
    <row r="26" spans="2:20" ht="13.5" customHeight="1" x14ac:dyDescent="0.2">
      <c r="B26" s="51">
        <v>10</v>
      </c>
      <c r="C26" s="79">
        <v>45376</v>
      </c>
      <c r="D26" s="52">
        <f t="shared" si="0"/>
        <v>297</v>
      </c>
      <c r="E26" s="53">
        <f t="shared" si="7"/>
        <v>0.72</v>
      </c>
      <c r="F26" s="54">
        <v>0</v>
      </c>
      <c r="G26" s="55">
        <f>+$I$6*F26</f>
        <v>0</v>
      </c>
      <c r="H26" s="55">
        <v>0</v>
      </c>
      <c r="I26" s="55">
        <f t="shared" si="2"/>
        <v>0</v>
      </c>
      <c r="J26" s="56">
        <f t="shared" si="3"/>
        <v>13100130</v>
      </c>
      <c r="M26" s="57">
        <f t="shared" si="5"/>
        <v>297</v>
      </c>
      <c r="N26" s="58">
        <f t="shared" si="6"/>
        <v>0</v>
      </c>
      <c r="O26" s="59">
        <f>+M26*N26</f>
        <v>0</v>
      </c>
      <c r="Q26" s="50">
        <v>0</v>
      </c>
    </row>
    <row r="27" spans="2:20" ht="13.5" customHeight="1" x14ac:dyDescent="0.2">
      <c r="B27" s="51"/>
      <c r="C27" s="79">
        <v>45407</v>
      </c>
      <c r="D27" s="52">
        <f t="shared" si="0"/>
        <v>328</v>
      </c>
      <c r="E27" s="53">
        <f t="shared" si="7"/>
        <v>0.72</v>
      </c>
      <c r="F27" s="54">
        <v>0</v>
      </c>
      <c r="G27" s="55">
        <f>+$I$6*F27</f>
        <v>0</v>
      </c>
      <c r="H27" s="55">
        <v>0</v>
      </c>
      <c r="I27" s="55">
        <f t="shared" si="2"/>
        <v>0</v>
      </c>
      <c r="J27" s="56">
        <f t="shared" si="3"/>
        <v>13100130</v>
      </c>
      <c r="M27" s="57">
        <f>+C27-$C$16</f>
        <v>328</v>
      </c>
      <c r="N27" s="58">
        <f>+I27/((1+$I$8)^(M27/365))</f>
        <v>0</v>
      </c>
      <c r="O27" s="59">
        <f>+M27*N27</f>
        <v>0</v>
      </c>
      <c r="Q27" s="50">
        <v>0</v>
      </c>
    </row>
    <row r="28" spans="2:20" ht="13.5" customHeight="1" x14ac:dyDescent="0.2">
      <c r="C28" s="79">
        <v>45439</v>
      </c>
      <c r="D28" s="52">
        <f t="shared" ref="D28:D29" si="8">+M28</f>
        <v>360</v>
      </c>
      <c r="E28" s="53">
        <f t="shared" si="7"/>
        <v>0.72</v>
      </c>
      <c r="F28" s="54">
        <v>0.5</v>
      </c>
      <c r="G28" s="55">
        <f t="shared" ref="G28:G29" si="9">+$I$6*F28</f>
        <v>6550065</v>
      </c>
      <c r="H28" s="55">
        <f>ROUND(J27*E28/365*(C28-F7),0)</f>
        <v>9483776</v>
      </c>
      <c r="I28" s="55">
        <f t="shared" ref="I28:I29" si="10">+G28+H28</f>
        <v>16033841</v>
      </c>
      <c r="J28" s="56">
        <f t="shared" ref="J28:J29" si="11">+J27-G28</f>
        <v>6550065</v>
      </c>
      <c r="M28" s="57">
        <f t="shared" ref="M28:M29" si="12">+C28-$C$16</f>
        <v>360</v>
      </c>
      <c r="N28" s="58">
        <f t="shared" ref="N28:N29" si="13">+I28/((1+$I$8)^(M28/365))</f>
        <v>9055625.3780892286</v>
      </c>
      <c r="O28" s="59">
        <f t="shared" ref="O28:O29" si="14">+M28*N28</f>
        <v>3260025136.1121225</v>
      </c>
      <c r="Q28" s="50">
        <f>J27*MAX(MIN($I$7+$Q$9,$Q$13),$Q$11)*(C28-F7)/365+G28</f>
        <v>19088078.291660957</v>
      </c>
    </row>
    <row r="29" spans="2:20" ht="13.5" customHeight="1" x14ac:dyDescent="0.2">
      <c r="C29" s="80">
        <v>45468</v>
      </c>
      <c r="D29" s="73">
        <f t="shared" si="8"/>
        <v>389</v>
      </c>
      <c r="E29" s="74">
        <f t="shared" si="7"/>
        <v>0.72</v>
      </c>
      <c r="F29" s="75">
        <v>0.5</v>
      </c>
      <c r="G29" s="76">
        <f t="shared" si="9"/>
        <v>6550065</v>
      </c>
      <c r="H29" s="76">
        <f t="shared" ref="H29" si="15">ROUND(J28*E29/365*(C29-C28),0)</f>
        <v>374700</v>
      </c>
      <c r="I29" s="76">
        <f t="shared" si="10"/>
        <v>6924765</v>
      </c>
      <c r="J29" s="77">
        <f t="shared" si="11"/>
        <v>0</v>
      </c>
      <c r="M29" s="57">
        <f t="shared" si="12"/>
        <v>389</v>
      </c>
      <c r="N29" s="58">
        <f t="shared" si="13"/>
        <v>3735068.2421671702</v>
      </c>
      <c r="O29" s="59">
        <f t="shared" si="14"/>
        <v>1452941546.2030292</v>
      </c>
      <c r="Q29" s="50">
        <f t="shared" ref="Q29" si="16">J28*MAX(MIN($I$7+$Q$9,$Q$13),$Q$11)*(C29-C28)/365+G29</f>
        <v>7045436.0973544521</v>
      </c>
    </row>
    <row r="30" spans="2:20" ht="13.5" customHeight="1" x14ac:dyDescent="0.2">
      <c r="C30" s="82"/>
      <c r="D30" s="82"/>
      <c r="E30" s="82"/>
      <c r="F30" s="70">
        <f>+SUM(F17:F29)</f>
        <v>1</v>
      </c>
      <c r="G30" s="71">
        <f t="shared" ref="G30:I30" si="17">+SUM(G17:G29)</f>
        <v>13100130</v>
      </c>
      <c r="H30" s="71">
        <f t="shared" si="17"/>
        <v>9858476</v>
      </c>
      <c r="I30" s="71">
        <f t="shared" si="17"/>
        <v>22958606</v>
      </c>
      <c r="J30" s="84"/>
      <c r="M30" s="57"/>
      <c r="N30" s="64">
        <f t="shared" ref="N30:O30" si="18">+SUM(N17:N29)</f>
        <v>12790693.620256398</v>
      </c>
      <c r="O30" s="65">
        <f t="shared" si="18"/>
        <v>4712966682.3151512</v>
      </c>
      <c r="Q30" s="65">
        <f>+SUM(Q17:Q29)</f>
        <v>26133514.38901541</v>
      </c>
    </row>
    <row r="31" spans="2:20" ht="13.5" customHeight="1" x14ac:dyDescent="0.2">
      <c r="C31" s="82"/>
      <c r="D31" s="82"/>
      <c r="E31" s="82"/>
      <c r="F31" s="82"/>
      <c r="G31" s="82"/>
      <c r="H31" s="82"/>
      <c r="I31" s="82"/>
      <c r="J31" s="82"/>
      <c r="K31" s="13"/>
      <c r="M31" s="57"/>
      <c r="N31" s="66"/>
      <c r="O31" s="66"/>
      <c r="Q31" s="66"/>
    </row>
    <row r="32" spans="2:20" x14ac:dyDescent="0.2">
      <c r="C32" s="116" t="s">
        <v>14</v>
      </c>
      <c r="D32" s="116"/>
      <c r="E32" s="116"/>
      <c r="F32" s="116"/>
      <c r="G32" s="116"/>
      <c r="H32" s="116"/>
      <c r="I32" s="116"/>
      <c r="J32" s="116"/>
      <c r="K32" s="116"/>
      <c r="M32" s="57"/>
      <c r="N32" s="66"/>
      <c r="O32" s="67"/>
      <c r="Q32" s="67"/>
    </row>
    <row r="33" spans="3:17" x14ac:dyDescent="0.2">
      <c r="C33" s="116"/>
      <c r="D33" s="116"/>
      <c r="E33" s="116"/>
      <c r="F33" s="116"/>
      <c r="G33" s="116"/>
      <c r="H33" s="116"/>
      <c r="I33" s="116"/>
      <c r="J33" s="116"/>
      <c r="K33" s="116"/>
      <c r="M33" s="57"/>
      <c r="N33" s="66"/>
      <c r="O33" s="67"/>
      <c r="Q33" s="67"/>
    </row>
    <row r="34" spans="3:17" x14ac:dyDescent="0.2">
      <c r="C34" s="116"/>
      <c r="D34" s="116"/>
      <c r="E34" s="116"/>
      <c r="F34" s="116"/>
      <c r="G34" s="116"/>
      <c r="H34" s="116"/>
      <c r="I34" s="116"/>
      <c r="J34" s="116"/>
      <c r="K34" s="116"/>
      <c r="M34" s="57"/>
      <c r="N34" s="66"/>
      <c r="O34" s="67"/>
      <c r="Q34" s="67"/>
    </row>
    <row r="35" spans="3:17" x14ac:dyDescent="0.2">
      <c r="C35" s="116"/>
      <c r="D35" s="116"/>
      <c r="E35" s="116"/>
      <c r="F35" s="116"/>
      <c r="G35" s="116"/>
      <c r="H35" s="116"/>
      <c r="I35" s="116"/>
      <c r="J35" s="116"/>
      <c r="K35" s="116"/>
    </row>
    <row r="36" spans="3:17" ht="18" customHeight="1" x14ac:dyDescent="0.2">
      <c r="C36" s="116"/>
      <c r="D36" s="116"/>
      <c r="E36" s="116"/>
      <c r="F36" s="116"/>
      <c r="G36" s="116"/>
      <c r="H36" s="116"/>
      <c r="I36" s="116"/>
      <c r="J36" s="116"/>
      <c r="K36" s="116"/>
    </row>
    <row r="37" spans="3:17" ht="12.75" customHeight="1" x14ac:dyDescent="0.2">
      <c r="C37" s="116"/>
      <c r="D37" s="116"/>
      <c r="E37" s="116"/>
      <c r="F37" s="116"/>
      <c r="G37" s="116"/>
      <c r="H37" s="116"/>
      <c r="I37" s="116"/>
      <c r="J37" s="116"/>
      <c r="K37" s="116"/>
    </row>
    <row r="38" spans="3:17" ht="12.75" customHeight="1" x14ac:dyDescent="0.2">
      <c r="C38" s="116"/>
      <c r="D38" s="116"/>
      <c r="E38" s="116"/>
      <c r="F38" s="116"/>
      <c r="G38" s="116"/>
      <c r="H38" s="116"/>
      <c r="I38" s="116"/>
      <c r="J38" s="116"/>
      <c r="K38" s="116"/>
    </row>
    <row r="39" spans="3:17" ht="12.75" customHeight="1" x14ac:dyDescent="0.2">
      <c r="C39" s="83"/>
      <c r="D39" s="83"/>
      <c r="E39" s="83"/>
      <c r="F39" s="83"/>
      <c r="G39" s="83"/>
      <c r="H39" s="83"/>
      <c r="I39" s="83"/>
      <c r="J39" s="83"/>
      <c r="K39" s="13"/>
    </row>
    <row r="40" spans="3:17" ht="12.75" customHeight="1" x14ac:dyDescent="0.2">
      <c r="C40" s="83"/>
      <c r="D40" s="83"/>
      <c r="E40" s="83"/>
      <c r="F40" s="83"/>
      <c r="G40" s="83"/>
      <c r="H40" s="83"/>
      <c r="I40" s="83"/>
      <c r="J40" s="83"/>
      <c r="K40" s="13"/>
    </row>
    <row r="41" spans="3:17" x14ac:dyDescent="0.2">
      <c r="C41" s="83"/>
      <c r="D41" s="83"/>
      <c r="E41" s="83"/>
      <c r="F41" s="83"/>
      <c r="G41" s="83"/>
      <c r="H41" s="83"/>
      <c r="I41" s="83"/>
      <c r="J41" s="83"/>
      <c r="K41" s="13"/>
    </row>
    <row r="42" spans="3:17" x14ac:dyDescent="0.2">
      <c r="C42" s="83"/>
      <c r="D42" s="83"/>
      <c r="E42" s="83"/>
      <c r="F42" s="83"/>
      <c r="G42" s="83"/>
      <c r="H42" s="83"/>
      <c r="I42" s="83"/>
      <c r="J42" s="83"/>
      <c r="K42" s="13"/>
    </row>
    <row r="43" spans="3:17" x14ac:dyDescent="0.2">
      <c r="C43" s="83"/>
      <c r="D43" s="83"/>
      <c r="E43" s="83"/>
      <c r="F43" s="83"/>
      <c r="G43" s="83"/>
      <c r="H43" s="83"/>
      <c r="I43" s="83"/>
      <c r="J43" s="83"/>
      <c r="K43" s="13"/>
    </row>
    <row r="44" spans="3:17" x14ac:dyDescent="0.2">
      <c r="C44" s="83"/>
      <c r="D44" s="83"/>
      <c r="E44" s="83"/>
      <c r="F44" s="83"/>
      <c r="G44" s="83"/>
      <c r="H44" s="83"/>
      <c r="I44" s="83"/>
      <c r="J44" s="83"/>
      <c r="K44" s="13"/>
    </row>
    <row r="45" spans="3:17" x14ac:dyDescent="0.2">
      <c r="C45" s="83"/>
      <c r="D45" s="83"/>
      <c r="E45" s="83"/>
      <c r="F45" s="83"/>
      <c r="G45" s="83"/>
      <c r="H45" s="83"/>
      <c r="I45" s="83"/>
      <c r="J45" s="83"/>
      <c r="K45" s="13"/>
    </row>
    <row r="46" spans="3:17" x14ac:dyDescent="0.2">
      <c r="C46" s="3"/>
      <c r="D46" s="3"/>
      <c r="E46" s="3"/>
      <c r="F46" s="3"/>
      <c r="G46" s="3"/>
      <c r="H46" s="3"/>
      <c r="I46" s="3"/>
      <c r="J46" s="3"/>
    </row>
    <row r="47" spans="3:17" x14ac:dyDescent="0.2">
      <c r="C47" s="69"/>
      <c r="D47" s="69"/>
      <c r="E47" s="69"/>
      <c r="F47" s="69"/>
      <c r="G47" s="69"/>
      <c r="H47" s="69"/>
      <c r="I47" s="69"/>
      <c r="J47" s="69"/>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2:K38"/>
  </mergeCells>
  <conditionalFormatting sqref="G28:G29">
    <cfRule type="cellIs" dxfId="1"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zoomScale="80" zoomScaleNormal="80" zoomScalePageLayoutView="50" workbookViewId="0"/>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9.42578125" style="8"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37</v>
      </c>
      <c r="D3" s="10"/>
      <c r="E3" s="11"/>
      <c r="F3" s="11"/>
      <c r="G3" s="11"/>
      <c r="H3" s="11"/>
      <c r="I3" s="11"/>
      <c r="J3" s="11"/>
      <c r="K3" s="11"/>
      <c r="M3" s="12"/>
      <c r="N3" s="12"/>
      <c r="O3" s="12"/>
      <c r="P3" s="12"/>
      <c r="Q3" s="12"/>
      <c r="S3" s="8"/>
      <c r="T3" s="8"/>
    </row>
    <row r="4" spans="3:23" x14ac:dyDescent="0.2">
      <c r="C4" s="8"/>
      <c r="D4" s="8"/>
      <c r="E4" s="8"/>
      <c r="M4" s="12"/>
      <c r="N4" s="12"/>
      <c r="O4" s="12"/>
      <c r="P4" s="12"/>
      <c r="Q4" s="12"/>
      <c r="S4" s="8"/>
      <c r="T4" s="8"/>
    </row>
    <row r="5" spans="3:23" x14ac:dyDescent="0.2">
      <c r="C5" s="8"/>
      <c r="D5" s="8"/>
      <c r="E5" s="8"/>
      <c r="M5" s="13"/>
      <c r="N5" s="13"/>
      <c r="O5" s="13"/>
      <c r="P5" s="13"/>
      <c r="Q5" s="13"/>
      <c r="S5" s="8"/>
      <c r="T5" s="8"/>
    </row>
    <row r="6" spans="3:23" x14ac:dyDescent="0.2">
      <c r="C6" s="106"/>
      <c r="D6" s="106"/>
      <c r="E6" s="106"/>
      <c r="F6" s="106"/>
      <c r="H6" s="14"/>
      <c r="I6" s="15">
        <v>78600778</v>
      </c>
      <c r="J6" s="16" t="s">
        <v>0</v>
      </c>
      <c r="S6" s="8"/>
      <c r="T6" s="8"/>
      <c r="W6" s="17"/>
    </row>
    <row r="7" spans="3:23" x14ac:dyDescent="0.2">
      <c r="C7" s="18" t="s">
        <v>18</v>
      </c>
      <c r="D7" s="19"/>
      <c r="E7" s="20"/>
      <c r="F7" s="81">
        <f>+VDFA!F7</f>
        <v>45072</v>
      </c>
      <c r="H7" s="21" t="s">
        <v>13</v>
      </c>
      <c r="I7" s="22">
        <f>+VDFA!I7</f>
        <v>0.93187500000000001</v>
      </c>
      <c r="J7" s="16" t="s">
        <v>0</v>
      </c>
      <c r="S7" s="8"/>
      <c r="T7" s="8"/>
      <c r="W7" s="17"/>
    </row>
    <row r="8" spans="3:23" x14ac:dyDescent="0.2">
      <c r="C8" s="23" t="s">
        <v>12</v>
      </c>
      <c r="D8" s="18"/>
      <c r="E8" s="20"/>
      <c r="F8" s="81">
        <f>+VDFA!F8</f>
        <v>45079</v>
      </c>
      <c r="H8" s="14"/>
      <c r="I8" s="24">
        <v>1.25</v>
      </c>
      <c r="J8" s="16" t="s">
        <v>0</v>
      </c>
      <c r="Q8" s="4" t="s">
        <v>25</v>
      </c>
      <c r="S8" s="8"/>
      <c r="T8" s="8"/>
      <c r="W8" s="17"/>
    </row>
    <row r="9" spans="3:23" x14ac:dyDescent="0.2">
      <c r="C9" s="18" t="s">
        <v>27</v>
      </c>
      <c r="D9" s="19"/>
      <c r="E9" s="20"/>
      <c r="F9" s="25">
        <v>78600778</v>
      </c>
      <c r="H9" s="21" t="s">
        <v>20</v>
      </c>
      <c r="I9" s="26">
        <f>+N39/I6</f>
        <v>0.75805657867172893</v>
      </c>
      <c r="Q9" s="27">
        <v>0</v>
      </c>
      <c r="S9" s="8"/>
      <c r="T9" s="8"/>
      <c r="W9" s="17"/>
    </row>
    <row r="10" spans="3:23" x14ac:dyDescent="0.2">
      <c r="C10" s="18" t="s">
        <v>1</v>
      </c>
      <c r="D10" s="19"/>
      <c r="E10" s="20"/>
      <c r="F10" s="28" t="s">
        <v>2</v>
      </c>
      <c r="H10" s="29" t="s">
        <v>19</v>
      </c>
      <c r="I10" s="30">
        <f>+XIRR(Q16:Q38,C16:C38)</f>
        <v>1.2499999880790713</v>
      </c>
      <c r="Q10" s="4" t="s">
        <v>23</v>
      </c>
      <c r="S10" s="8"/>
      <c r="T10" s="8"/>
      <c r="W10" s="17"/>
    </row>
    <row r="11" spans="3:23" x14ac:dyDescent="0.2">
      <c r="C11" s="18" t="s">
        <v>32</v>
      </c>
      <c r="D11" s="19"/>
      <c r="E11" s="20"/>
      <c r="F11" s="28" t="s">
        <v>31</v>
      </c>
      <c r="J11" s="31"/>
      <c r="Q11" s="32">
        <f>+$F$12</f>
        <v>0.8</v>
      </c>
      <c r="S11" s="8"/>
      <c r="T11" s="8"/>
      <c r="W11" s="17"/>
    </row>
    <row r="12" spans="3:23" x14ac:dyDescent="0.2">
      <c r="C12" s="33" t="s">
        <v>29</v>
      </c>
      <c r="F12" s="35">
        <v>0.8</v>
      </c>
      <c r="G12" s="16"/>
      <c r="H12" s="40" t="s">
        <v>21</v>
      </c>
      <c r="I12" s="41">
        <f>+O39/N39/365*12</f>
        <v>15.56859551759193</v>
      </c>
      <c r="Q12" s="4" t="s">
        <v>24</v>
      </c>
      <c r="S12" s="8"/>
      <c r="T12" s="8"/>
      <c r="W12" s="17"/>
    </row>
    <row r="13" spans="3:23" x14ac:dyDescent="0.2">
      <c r="C13" s="36" t="s">
        <v>17</v>
      </c>
      <c r="D13" s="37"/>
      <c r="E13" s="38"/>
      <c r="F13" s="39" t="s">
        <v>33</v>
      </c>
      <c r="Q13" s="27">
        <v>0.8</v>
      </c>
      <c r="S13" s="8"/>
      <c r="T13" s="8"/>
      <c r="W13" s="17"/>
    </row>
    <row r="14" spans="3:23" x14ac:dyDescent="0.2">
      <c r="C14" s="8"/>
      <c r="D14" s="8"/>
      <c r="E14" s="8"/>
      <c r="S14" s="8"/>
      <c r="T14" s="8"/>
      <c r="W14" s="17"/>
    </row>
    <row r="15" spans="3:23" ht="15.75" x14ac:dyDescent="0.2">
      <c r="C15" s="1" t="s">
        <v>3</v>
      </c>
      <c r="D15" s="1" t="s">
        <v>9</v>
      </c>
      <c r="E15" s="1" t="s">
        <v>28</v>
      </c>
      <c r="F15" s="1" t="s">
        <v>4</v>
      </c>
      <c r="G15" s="1" t="s">
        <v>5</v>
      </c>
      <c r="H15" s="1" t="s">
        <v>6</v>
      </c>
      <c r="I15" s="1" t="s">
        <v>7</v>
      </c>
      <c r="J15" s="1" t="s">
        <v>8</v>
      </c>
      <c r="K15" s="43"/>
      <c r="L15" s="4"/>
      <c r="M15" s="2" t="s">
        <v>9</v>
      </c>
      <c r="N15" s="2" t="s">
        <v>10</v>
      </c>
      <c r="O15" s="2" t="s">
        <v>11</v>
      </c>
      <c r="Q15" s="2" t="s">
        <v>22</v>
      </c>
      <c r="S15" s="8"/>
      <c r="T15" s="8"/>
    </row>
    <row r="16" spans="3:23" x14ac:dyDescent="0.2">
      <c r="C16" s="78">
        <f>+F8</f>
        <v>45079</v>
      </c>
      <c r="D16" s="45"/>
      <c r="E16" s="44"/>
      <c r="F16" s="46"/>
      <c r="G16" s="46"/>
      <c r="H16" s="46"/>
      <c r="I16" s="47"/>
      <c r="J16" s="48">
        <f>+$F$9</f>
        <v>78600778</v>
      </c>
      <c r="K16" s="49"/>
      <c r="Q16" s="50">
        <f>+-(I6*I9)</f>
        <v>-59583836.851616099</v>
      </c>
      <c r="S16" s="8"/>
      <c r="T16" s="8"/>
    </row>
    <row r="17" spans="2:20" x14ac:dyDescent="0.2">
      <c r="B17" s="51">
        <v>1</v>
      </c>
      <c r="C17" s="79">
        <v>45103</v>
      </c>
      <c r="D17" s="52">
        <f t="shared" ref="D17:D29" si="0">+M17</f>
        <v>24</v>
      </c>
      <c r="E17" s="53">
        <f>+$F$12</f>
        <v>0.8</v>
      </c>
      <c r="F17" s="54">
        <v>0</v>
      </c>
      <c r="G17" s="55">
        <f t="shared" ref="G17:G25" si="1">+$I$6*F17</f>
        <v>0</v>
      </c>
      <c r="H17" s="55">
        <v>0</v>
      </c>
      <c r="I17" s="55">
        <f t="shared" ref="I17:I29" si="2">+G17+H17</f>
        <v>0</v>
      </c>
      <c r="J17" s="56">
        <f t="shared" ref="J17:J29" si="3">+J16-G17</f>
        <v>78600778</v>
      </c>
      <c r="K17" s="49"/>
      <c r="M17" s="57">
        <f>+C17-$C$16</f>
        <v>24</v>
      </c>
      <c r="N17" s="58">
        <f>+I17/((1+$I$8)^(M17/365))</f>
        <v>0</v>
      </c>
      <c r="O17" s="59">
        <f t="shared" ref="O17:O23" si="4">+M17*N17</f>
        <v>0</v>
      </c>
      <c r="Q17" s="50">
        <v>0</v>
      </c>
      <c r="S17" s="8"/>
      <c r="T17" s="8"/>
    </row>
    <row r="18" spans="2:20" x14ac:dyDescent="0.2">
      <c r="B18" s="51">
        <v>2</v>
      </c>
      <c r="C18" s="79">
        <v>45132</v>
      </c>
      <c r="D18" s="52">
        <f t="shared" si="0"/>
        <v>53</v>
      </c>
      <c r="E18" s="53">
        <f>+$F$12</f>
        <v>0.8</v>
      </c>
      <c r="F18" s="54">
        <v>0</v>
      </c>
      <c r="G18" s="55">
        <f t="shared" si="1"/>
        <v>0</v>
      </c>
      <c r="H18" s="55">
        <v>0</v>
      </c>
      <c r="I18" s="55">
        <f t="shared" si="2"/>
        <v>0</v>
      </c>
      <c r="J18" s="56">
        <f t="shared" si="3"/>
        <v>78600778</v>
      </c>
      <c r="K18" s="61"/>
      <c r="M18" s="57">
        <f t="shared" ref="M18:M26" si="5">+C18-$C$16</f>
        <v>53</v>
      </c>
      <c r="N18" s="58">
        <f t="shared" ref="N18:N26" si="6">+I18/((1+$I$8)^(M18/365))</f>
        <v>0</v>
      </c>
      <c r="O18" s="59">
        <f t="shared" si="4"/>
        <v>0</v>
      </c>
      <c r="Q18" s="50">
        <v>0</v>
      </c>
      <c r="R18" s="60"/>
    </row>
    <row r="19" spans="2:20" x14ac:dyDescent="0.2">
      <c r="B19" s="51">
        <v>3</v>
      </c>
      <c r="C19" s="79">
        <v>45163</v>
      </c>
      <c r="D19" s="52">
        <f t="shared" si="0"/>
        <v>84</v>
      </c>
      <c r="E19" s="53">
        <f>+$F$12</f>
        <v>0.8</v>
      </c>
      <c r="F19" s="54">
        <v>0</v>
      </c>
      <c r="G19" s="55">
        <f t="shared" si="1"/>
        <v>0</v>
      </c>
      <c r="H19" s="55">
        <v>0</v>
      </c>
      <c r="I19" s="55">
        <f t="shared" si="2"/>
        <v>0</v>
      </c>
      <c r="J19" s="56">
        <f t="shared" si="3"/>
        <v>78600778</v>
      </c>
      <c r="M19" s="57">
        <f t="shared" si="5"/>
        <v>84</v>
      </c>
      <c r="N19" s="58">
        <f t="shared" si="6"/>
        <v>0</v>
      </c>
      <c r="O19" s="59">
        <f t="shared" si="4"/>
        <v>0</v>
      </c>
      <c r="Q19" s="50">
        <v>0</v>
      </c>
      <c r="R19" s="60"/>
    </row>
    <row r="20" spans="2:20" ht="13.5" customHeight="1" x14ac:dyDescent="0.2">
      <c r="B20" s="51">
        <v>4</v>
      </c>
      <c r="C20" s="79">
        <v>45194</v>
      </c>
      <c r="D20" s="52">
        <f t="shared" si="0"/>
        <v>115</v>
      </c>
      <c r="E20" s="53">
        <f>+$F$12</f>
        <v>0.8</v>
      </c>
      <c r="F20" s="54">
        <v>0</v>
      </c>
      <c r="G20" s="55">
        <f t="shared" si="1"/>
        <v>0</v>
      </c>
      <c r="H20" s="55">
        <v>0</v>
      </c>
      <c r="I20" s="55">
        <f t="shared" si="2"/>
        <v>0</v>
      </c>
      <c r="J20" s="56">
        <f t="shared" si="3"/>
        <v>78600778</v>
      </c>
      <c r="M20" s="57">
        <f t="shared" si="5"/>
        <v>115</v>
      </c>
      <c r="N20" s="58">
        <f t="shared" si="6"/>
        <v>0</v>
      </c>
      <c r="O20" s="59">
        <f t="shared" si="4"/>
        <v>0</v>
      </c>
      <c r="Q20" s="50">
        <v>0</v>
      </c>
    </row>
    <row r="21" spans="2:20" ht="13.5" customHeight="1" x14ac:dyDescent="0.2">
      <c r="B21" s="51">
        <v>5</v>
      </c>
      <c r="C21" s="79">
        <v>45224</v>
      </c>
      <c r="D21" s="52">
        <f t="shared" si="0"/>
        <v>145</v>
      </c>
      <c r="E21" s="53">
        <f>+$F$12</f>
        <v>0.8</v>
      </c>
      <c r="F21" s="54">
        <v>0</v>
      </c>
      <c r="G21" s="55">
        <f t="shared" si="1"/>
        <v>0</v>
      </c>
      <c r="H21" s="55">
        <v>0</v>
      </c>
      <c r="I21" s="55">
        <f t="shared" si="2"/>
        <v>0</v>
      </c>
      <c r="J21" s="56">
        <f t="shared" si="3"/>
        <v>78600778</v>
      </c>
      <c r="M21" s="57">
        <f t="shared" si="5"/>
        <v>145</v>
      </c>
      <c r="N21" s="58">
        <f t="shared" si="6"/>
        <v>0</v>
      </c>
      <c r="O21" s="59">
        <f t="shared" si="4"/>
        <v>0</v>
      </c>
      <c r="Q21" s="50">
        <v>0</v>
      </c>
    </row>
    <row r="22" spans="2:20" ht="13.5" customHeight="1" x14ac:dyDescent="0.2">
      <c r="B22" s="51">
        <v>6</v>
      </c>
      <c r="C22" s="79">
        <v>45257</v>
      </c>
      <c r="D22" s="52">
        <f t="shared" si="0"/>
        <v>178</v>
      </c>
      <c r="E22" s="53">
        <f t="shared" ref="E22:E38" si="7">+$F$12</f>
        <v>0.8</v>
      </c>
      <c r="F22" s="54">
        <v>0</v>
      </c>
      <c r="G22" s="55">
        <f t="shared" si="1"/>
        <v>0</v>
      </c>
      <c r="H22" s="55">
        <v>0</v>
      </c>
      <c r="I22" s="55">
        <f t="shared" si="2"/>
        <v>0</v>
      </c>
      <c r="J22" s="56">
        <f t="shared" si="3"/>
        <v>78600778</v>
      </c>
      <c r="M22" s="57">
        <f t="shared" si="5"/>
        <v>178</v>
      </c>
      <c r="N22" s="58">
        <f t="shared" si="6"/>
        <v>0</v>
      </c>
      <c r="O22" s="59">
        <f t="shared" si="4"/>
        <v>0</v>
      </c>
      <c r="Q22" s="50">
        <v>0</v>
      </c>
    </row>
    <row r="23" spans="2:20" ht="13.5" customHeight="1" x14ac:dyDescent="0.2">
      <c r="B23" s="51">
        <v>7</v>
      </c>
      <c r="C23" s="79">
        <v>45286</v>
      </c>
      <c r="D23" s="52">
        <f t="shared" si="0"/>
        <v>207</v>
      </c>
      <c r="E23" s="53">
        <f t="shared" si="7"/>
        <v>0.8</v>
      </c>
      <c r="F23" s="54">
        <v>0</v>
      </c>
      <c r="G23" s="55">
        <f t="shared" si="1"/>
        <v>0</v>
      </c>
      <c r="H23" s="55">
        <v>0</v>
      </c>
      <c r="I23" s="55">
        <f t="shared" si="2"/>
        <v>0</v>
      </c>
      <c r="J23" s="56">
        <f t="shared" si="3"/>
        <v>78600778</v>
      </c>
      <c r="M23" s="57">
        <f t="shared" si="5"/>
        <v>207</v>
      </c>
      <c r="N23" s="58">
        <f t="shared" si="6"/>
        <v>0</v>
      </c>
      <c r="O23" s="59">
        <f t="shared" si="4"/>
        <v>0</v>
      </c>
      <c r="Q23" s="50">
        <v>0</v>
      </c>
    </row>
    <row r="24" spans="2:20" ht="13.5" customHeight="1" x14ac:dyDescent="0.2">
      <c r="B24" s="51">
        <v>8</v>
      </c>
      <c r="C24" s="79">
        <v>45316</v>
      </c>
      <c r="D24" s="52">
        <f t="shared" si="0"/>
        <v>237</v>
      </c>
      <c r="E24" s="53">
        <f t="shared" si="7"/>
        <v>0.8</v>
      </c>
      <c r="F24" s="54">
        <v>0</v>
      </c>
      <c r="G24" s="55">
        <f t="shared" si="1"/>
        <v>0</v>
      </c>
      <c r="H24" s="55">
        <v>0</v>
      </c>
      <c r="I24" s="55">
        <f t="shared" si="2"/>
        <v>0</v>
      </c>
      <c r="J24" s="56">
        <f t="shared" si="3"/>
        <v>78600778</v>
      </c>
      <c r="M24" s="57">
        <f t="shared" si="5"/>
        <v>237</v>
      </c>
      <c r="N24" s="58">
        <f t="shared" si="6"/>
        <v>0</v>
      </c>
      <c r="O24" s="59">
        <f>+M24*N24</f>
        <v>0</v>
      </c>
      <c r="Q24" s="50">
        <v>0</v>
      </c>
    </row>
    <row r="25" spans="2:20" ht="13.5" customHeight="1" x14ac:dyDescent="0.2">
      <c r="B25" s="51">
        <v>9</v>
      </c>
      <c r="C25" s="79">
        <v>45348</v>
      </c>
      <c r="D25" s="52">
        <f t="shared" si="0"/>
        <v>269</v>
      </c>
      <c r="E25" s="53">
        <f t="shared" si="7"/>
        <v>0.8</v>
      </c>
      <c r="F25" s="54">
        <v>0</v>
      </c>
      <c r="G25" s="55">
        <f t="shared" si="1"/>
        <v>0</v>
      </c>
      <c r="H25" s="55">
        <v>0</v>
      </c>
      <c r="I25" s="55">
        <f t="shared" si="2"/>
        <v>0</v>
      </c>
      <c r="J25" s="56">
        <f t="shared" si="3"/>
        <v>78600778</v>
      </c>
      <c r="M25" s="57">
        <f t="shared" si="5"/>
        <v>269</v>
      </c>
      <c r="N25" s="58">
        <f t="shared" si="6"/>
        <v>0</v>
      </c>
      <c r="O25" s="59">
        <f>+M25*N25</f>
        <v>0</v>
      </c>
      <c r="Q25" s="50">
        <v>0</v>
      </c>
    </row>
    <row r="26" spans="2:20" ht="13.5" customHeight="1" x14ac:dyDescent="0.2">
      <c r="B26" s="51">
        <v>10</v>
      </c>
      <c r="C26" s="79">
        <v>45376</v>
      </c>
      <c r="D26" s="52">
        <f t="shared" si="0"/>
        <v>297</v>
      </c>
      <c r="E26" s="53">
        <f t="shared" si="7"/>
        <v>0.8</v>
      </c>
      <c r="F26" s="54">
        <v>0</v>
      </c>
      <c r="G26" s="55">
        <f>+$I$6*F26</f>
        <v>0</v>
      </c>
      <c r="H26" s="55">
        <v>0</v>
      </c>
      <c r="I26" s="55">
        <f t="shared" si="2"/>
        <v>0</v>
      </c>
      <c r="J26" s="56">
        <f t="shared" si="3"/>
        <v>78600778</v>
      </c>
      <c r="M26" s="57">
        <f t="shared" si="5"/>
        <v>297</v>
      </c>
      <c r="N26" s="58">
        <f t="shared" si="6"/>
        <v>0</v>
      </c>
      <c r="O26" s="59">
        <f>+M26*N26</f>
        <v>0</v>
      </c>
      <c r="Q26" s="50">
        <v>0</v>
      </c>
    </row>
    <row r="27" spans="2:20" ht="13.5" customHeight="1" x14ac:dyDescent="0.2">
      <c r="B27" s="51"/>
      <c r="C27" s="79">
        <v>45407</v>
      </c>
      <c r="D27" s="52">
        <f t="shared" si="0"/>
        <v>328</v>
      </c>
      <c r="E27" s="53">
        <f t="shared" si="7"/>
        <v>0.8</v>
      </c>
      <c r="F27" s="54">
        <v>0</v>
      </c>
      <c r="G27" s="55">
        <f>+$I$6*F27</f>
        <v>0</v>
      </c>
      <c r="H27" s="55">
        <v>0</v>
      </c>
      <c r="I27" s="55">
        <f t="shared" si="2"/>
        <v>0</v>
      </c>
      <c r="J27" s="56">
        <f t="shared" si="3"/>
        <v>78600778</v>
      </c>
      <c r="M27" s="57">
        <f>+C27-$C$16</f>
        <v>328</v>
      </c>
      <c r="N27" s="58">
        <f>+I27/((1+$I$8)^(M27/365))</f>
        <v>0</v>
      </c>
      <c r="O27" s="59">
        <f>+M27*N27</f>
        <v>0</v>
      </c>
      <c r="Q27" s="50">
        <v>0</v>
      </c>
    </row>
    <row r="28" spans="2:20" ht="13.5" customHeight="1" x14ac:dyDescent="0.2">
      <c r="C28" s="79">
        <v>45439</v>
      </c>
      <c r="D28" s="52">
        <f t="shared" si="0"/>
        <v>360</v>
      </c>
      <c r="E28" s="53">
        <f t="shared" si="7"/>
        <v>0.8</v>
      </c>
      <c r="F28" s="54">
        <v>0</v>
      </c>
      <c r="G28" s="55">
        <f t="shared" ref="G28:G38" si="8">+$I$6*F28</f>
        <v>0</v>
      </c>
      <c r="H28" s="55">
        <v>0</v>
      </c>
      <c r="I28" s="55">
        <f t="shared" si="2"/>
        <v>0</v>
      </c>
      <c r="J28" s="56">
        <f t="shared" si="3"/>
        <v>78600778</v>
      </c>
      <c r="M28" s="57">
        <f t="shared" ref="M28:M29" si="9">+C28-$C$16</f>
        <v>360</v>
      </c>
      <c r="N28" s="58">
        <f t="shared" ref="N28:N29" si="10">+I28/((1+$I$8)^(M28/365))</f>
        <v>0</v>
      </c>
      <c r="O28" s="59">
        <f t="shared" ref="O28:O29" si="11">+M28*N28</f>
        <v>0</v>
      </c>
      <c r="Q28" s="50">
        <v>0</v>
      </c>
    </row>
    <row r="29" spans="2:20" ht="13.5" customHeight="1" x14ac:dyDescent="0.2">
      <c r="C29" s="79">
        <v>45468</v>
      </c>
      <c r="D29" s="52">
        <f t="shared" si="0"/>
        <v>389</v>
      </c>
      <c r="E29" s="53">
        <f t="shared" si="7"/>
        <v>0.8</v>
      </c>
      <c r="F29" s="54">
        <v>0</v>
      </c>
      <c r="G29" s="55">
        <f t="shared" si="8"/>
        <v>0</v>
      </c>
      <c r="H29" s="55">
        <v>0</v>
      </c>
      <c r="I29" s="55">
        <f t="shared" si="2"/>
        <v>0</v>
      </c>
      <c r="J29" s="56">
        <f t="shared" si="3"/>
        <v>78600778</v>
      </c>
      <c r="M29" s="89">
        <f t="shared" si="9"/>
        <v>389</v>
      </c>
      <c r="N29" s="90">
        <f t="shared" si="10"/>
        <v>0</v>
      </c>
      <c r="O29" s="91">
        <f t="shared" si="11"/>
        <v>0</v>
      </c>
      <c r="Q29" s="50">
        <v>0</v>
      </c>
    </row>
    <row r="30" spans="2:20" ht="13.5" customHeight="1" x14ac:dyDescent="0.2">
      <c r="C30" s="79">
        <v>45498</v>
      </c>
      <c r="D30" s="52">
        <f t="shared" ref="D30:D38" si="12">+M30</f>
        <v>419</v>
      </c>
      <c r="E30" s="53">
        <f t="shared" si="7"/>
        <v>0.8</v>
      </c>
      <c r="F30" s="54">
        <v>0.11111111393833786</v>
      </c>
      <c r="G30" s="55">
        <f t="shared" si="8"/>
        <v>8733420</v>
      </c>
      <c r="H30" s="55">
        <f>ROUND(J29*E30/365*(C30-F7),2)</f>
        <v>73389438.75</v>
      </c>
      <c r="I30" s="55">
        <f t="shared" ref="I30:I38" si="13">+G30+H30</f>
        <v>82122858.75</v>
      </c>
      <c r="J30" s="56">
        <f t="shared" ref="J30:J38" si="14">+J29-G30</f>
        <v>69867358</v>
      </c>
      <c r="M30" s="89">
        <f t="shared" ref="M30:M38" si="15">+C30-$C$16</f>
        <v>419</v>
      </c>
      <c r="N30" s="90">
        <f t="shared" ref="N30:N38" si="16">+I30/((1+$I$8)^(M30/365))</f>
        <v>32372618.24921165</v>
      </c>
      <c r="O30" s="91">
        <f t="shared" ref="O30:O38" si="17">+M30*N30</f>
        <v>13564127046.419682</v>
      </c>
      <c r="Q30" s="92">
        <f>J29*MAX(MIN($I$7+$Q$9,$Q$13),$Q$11)*(C30-F7)/365+G30</f>
        <v>82122858.746301368</v>
      </c>
    </row>
    <row r="31" spans="2:20" ht="13.5" customHeight="1" x14ac:dyDescent="0.2">
      <c r="C31" s="79">
        <v>45530</v>
      </c>
      <c r="D31" s="52">
        <f t="shared" si="12"/>
        <v>451</v>
      </c>
      <c r="E31" s="53">
        <f t="shared" si="7"/>
        <v>0.8</v>
      </c>
      <c r="F31" s="54">
        <v>0.11111111393833786</v>
      </c>
      <c r="G31" s="55">
        <f t="shared" si="8"/>
        <v>8733420</v>
      </c>
      <c r="H31" s="55">
        <f>ROUND(J30*E31/365*(C31-C30),2)</f>
        <v>4900285.93</v>
      </c>
      <c r="I31" s="55">
        <f t="shared" si="13"/>
        <v>13633705.93</v>
      </c>
      <c r="J31" s="56">
        <f t="shared" si="14"/>
        <v>61133938</v>
      </c>
      <c r="M31" s="89">
        <f t="shared" si="15"/>
        <v>451</v>
      </c>
      <c r="N31" s="90">
        <f t="shared" si="16"/>
        <v>5005545.5024143914</v>
      </c>
      <c r="O31" s="91">
        <f t="shared" si="17"/>
        <v>2257501021.5888906</v>
      </c>
      <c r="Q31" s="92">
        <f t="shared" ref="Q31:Q38" si="18">J30*MAX(MIN($I$7+$Q$9,$Q$13),$Q$11)*(C31-C30)/365+G31</f>
        <v>13633705.930958904</v>
      </c>
    </row>
    <row r="32" spans="2:20" ht="12.75" customHeight="1" x14ac:dyDescent="0.2">
      <c r="C32" s="79">
        <v>45560</v>
      </c>
      <c r="D32" s="52">
        <f t="shared" si="12"/>
        <v>481</v>
      </c>
      <c r="E32" s="53">
        <f t="shared" si="7"/>
        <v>0.8</v>
      </c>
      <c r="F32" s="54">
        <v>0.11111111393833786</v>
      </c>
      <c r="G32" s="55">
        <f t="shared" si="8"/>
        <v>8733420</v>
      </c>
      <c r="H32" s="55">
        <f t="shared" ref="H32:H38" si="19">ROUND(J31*E32/365*(C32-C31),2)</f>
        <v>4019765.79</v>
      </c>
      <c r="I32" s="55">
        <f t="shared" si="13"/>
        <v>12753185.789999999</v>
      </c>
      <c r="J32" s="56">
        <f t="shared" si="14"/>
        <v>52400518</v>
      </c>
      <c r="M32" s="89">
        <f t="shared" si="15"/>
        <v>481</v>
      </c>
      <c r="N32" s="90">
        <f t="shared" si="16"/>
        <v>4380358.6393471751</v>
      </c>
      <c r="O32" s="91">
        <f t="shared" si="17"/>
        <v>2106952505.5259912</v>
      </c>
      <c r="Q32" s="92">
        <f t="shared" si="18"/>
        <v>12753185.786301371</v>
      </c>
    </row>
    <row r="33" spans="3:17" x14ac:dyDescent="0.2">
      <c r="C33" s="79">
        <v>45590</v>
      </c>
      <c r="D33" s="52">
        <f t="shared" si="12"/>
        <v>511</v>
      </c>
      <c r="E33" s="53">
        <f t="shared" si="7"/>
        <v>0.8</v>
      </c>
      <c r="F33" s="54">
        <v>0.11111111393833786</v>
      </c>
      <c r="G33" s="55">
        <f t="shared" si="8"/>
        <v>8733420</v>
      </c>
      <c r="H33" s="55">
        <f t="shared" si="19"/>
        <v>3445513.51</v>
      </c>
      <c r="I33" s="55">
        <f t="shared" si="13"/>
        <v>12178933.51</v>
      </c>
      <c r="J33" s="56">
        <f t="shared" si="14"/>
        <v>43667098</v>
      </c>
      <c r="M33" s="89">
        <f t="shared" si="15"/>
        <v>511</v>
      </c>
      <c r="N33" s="90">
        <f t="shared" si="16"/>
        <v>3913395.4355225796</v>
      </c>
      <c r="O33" s="91">
        <f t="shared" si="17"/>
        <v>1999745067.5520382</v>
      </c>
      <c r="Q33" s="92">
        <f t="shared" si="18"/>
        <v>12178933.512328768</v>
      </c>
    </row>
    <row r="34" spans="3:17" x14ac:dyDescent="0.2">
      <c r="C34" s="79">
        <v>45621</v>
      </c>
      <c r="D34" s="52">
        <f t="shared" si="12"/>
        <v>542</v>
      </c>
      <c r="E34" s="53">
        <f t="shared" si="7"/>
        <v>0.8</v>
      </c>
      <c r="F34" s="54">
        <v>0.11111111393833786</v>
      </c>
      <c r="G34" s="55">
        <f t="shared" si="8"/>
        <v>8733420</v>
      </c>
      <c r="H34" s="55">
        <f t="shared" si="19"/>
        <v>2966969.95</v>
      </c>
      <c r="I34" s="55">
        <f t="shared" si="13"/>
        <v>11700389.949999999</v>
      </c>
      <c r="J34" s="56">
        <f t="shared" si="14"/>
        <v>34933678</v>
      </c>
      <c r="M34" s="89">
        <f t="shared" si="15"/>
        <v>542</v>
      </c>
      <c r="N34" s="90">
        <f t="shared" si="16"/>
        <v>3509404.4207851444</v>
      </c>
      <c r="O34" s="91">
        <f t="shared" si="17"/>
        <v>1902097196.0655482</v>
      </c>
      <c r="Q34" s="92">
        <f t="shared" si="18"/>
        <v>11700389.946301369</v>
      </c>
    </row>
    <row r="35" spans="3:17" x14ac:dyDescent="0.2">
      <c r="C35" s="79">
        <v>45652</v>
      </c>
      <c r="D35" s="52">
        <f t="shared" si="12"/>
        <v>573</v>
      </c>
      <c r="E35" s="53">
        <f t="shared" si="7"/>
        <v>0.8</v>
      </c>
      <c r="F35" s="54">
        <v>0.11111111393833786</v>
      </c>
      <c r="G35" s="55">
        <f t="shared" si="8"/>
        <v>8733420</v>
      </c>
      <c r="H35" s="55">
        <f t="shared" si="19"/>
        <v>2373575.9300000002</v>
      </c>
      <c r="I35" s="55">
        <f t="shared" si="13"/>
        <v>11106995.93</v>
      </c>
      <c r="J35" s="56">
        <f t="shared" si="14"/>
        <v>26200258</v>
      </c>
      <c r="M35" s="89">
        <f t="shared" si="15"/>
        <v>573</v>
      </c>
      <c r="N35" s="90">
        <f t="shared" si="16"/>
        <v>3109698.638277933</v>
      </c>
      <c r="O35" s="91">
        <f t="shared" si="17"/>
        <v>1781857319.7332556</v>
      </c>
      <c r="Q35" s="92">
        <f t="shared" si="18"/>
        <v>11106995.929863013</v>
      </c>
    </row>
    <row r="36" spans="3:17" ht="12" customHeight="1" x14ac:dyDescent="0.2">
      <c r="C36" s="79">
        <v>45684</v>
      </c>
      <c r="D36" s="52">
        <f t="shared" si="12"/>
        <v>605</v>
      </c>
      <c r="E36" s="53">
        <f t="shared" si="7"/>
        <v>0.8</v>
      </c>
      <c r="F36" s="54">
        <v>0.11111111393833786</v>
      </c>
      <c r="G36" s="55">
        <f t="shared" si="8"/>
        <v>8733420</v>
      </c>
      <c r="H36" s="55">
        <f t="shared" si="19"/>
        <v>1837607.14</v>
      </c>
      <c r="I36" s="55">
        <f t="shared" si="13"/>
        <v>10571027.140000001</v>
      </c>
      <c r="J36" s="56">
        <f t="shared" si="14"/>
        <v>17466838</v>
      </c>
      <c r="M36" s="89">
        <f t="shared" si="15"/>
        <v>605</v>
      </c>
      <c r="N36" s="90">
        <f t="shared" si="16"/>
        <v>2756529.2360783536</v>
      </c>
      <c r="O36" s="91">
        <f t="shared" si="17"/>
        <v>1667700187.827404</v>
      </c>
      <c r="Q36" s="92">
        <f t="shared" si="18"/>
        <v>10571027.136438357</v>
      </c>
    </row>
    <row r="37" spans="3:17" ht="12.75" customHeight="1" x14ac:dyDescent="0.2">
      <c r="C37" s="79">
        <v>45713</v>
      </c>
      <c r="D37" s="52">
        <f t="shared" si="12"/>
        <v>634</v>
      </c>
      <c r="E37" s="53">
        <f t="shared" si="7"/>
        <v>0.8</v>
      </c>
      <c r="F37" s="54">
        <v>0.11111111393833786</v>
      </c>
      <c r="G37" s="55">
        <f t="shared" si="8"/>
        <v>8733420</v>
      </c>
      <c r="H37" s="55">
        <f t="shared" si="19"/>
        <v>1110220.94</v>
      </c>
      <c r="I37" s="55">
        <f t="shared" si="13"/>
        <v>9843640.9399999995</v>
      </c>
      <c r="J37" s="56">
        <f t="shared" si="14"/>
        <v>8733418</v>
      </c>
      <c r="M37" s="89">
        <f t="shared" si="15"/>
        <v>634</v>
      </c>
      <c r="N37" s="90">
        <f t="shared" si="16"/>
        <v>2406686.6798248766</v>
      </c>
      <c r="O37" s="91">
        <f t="shared" si="17"/>
        <v>1525839355.0089717</v>
      </c>
      <c r="Q37" s="92">
        <f t="shared" si="18"/>
        <v>9843640.9358904101</v>
      </c>
    </row>
    <row r="38" spans="3:17" ht="12.75" customHeight="1" x14ac:dyDescent="0.2">
      <c r="C38" s="80">
        <v>45741</v>
      </c>
      <c r="D38" s="73">
        <f t="shared" si="12"/>
        <v>662</v>
      </c>
      <c r="E38" s="74">
        <f t="shared" si="7"/>
        <v>0.8</v>
      </c>
      <c r="F38" s="75">
        <v>0.11111108849329711</v>
      </c>
      <c r="G38" s="76">
        <f t="shared" si="8"/>
        <v>8733418</v>
      </c>
      <c r="H38" s="76">
        <f t="shared" si="19"/>
        <v>535968.67000000004</v>
      </c>
      <c r="I38" s="76">
        <f t="shared" si="13"/>
        <v>9269386.6699999999</v>
      </c>
      <c r="J38" s="77">
        <f t="shared" si="14"/>
        <v>0</v>
      </c>
      <c r="M38" s="89">
        <f t="shared" si="15"/>
        <v>662</v>
      </c>
      <c r="N38" s="90">
        <f t="shared" si="16"/>
        <v>2129600.0501539996</v>
      </c>
      <c r="O38" s="91">
        <f t="shared" si="17"/>
        <v>1409795233.2019477</v>
      </c>
      <c r="Q38" s="92">
        <f t="shared" si="18"/>
        <v>9269386.6663013697</v>
      </c>
    </row>
    <row r="39" spans="3:17" ht="12.75" customHeight="1" x14ac:dyDescent="0.2">
      <c r="C39" s="8"/>
      <c r="D39" s="8"/>
      <c r="E39" s="8"/>
      <c r="F39" s="70">
        <f>+SUM(F17:F38)</f>
        <v>0.99999999999999989</v>
      </c>
      <c r="G39" s="71">
        <f t="shared" ref="G39:I39" si="20">+SUM(G17:G38)</f>
        <v>78600778</v>
      </c>
      <c r="H39" s="71">
        <f t="shared" si="20"/>
        <v>94579346.610000029</v>
      </c>
      <c r="I39" s="71">
        <f t="shared" si="20"/>
        <v>173180124.60999998</v>
      </c>
      <c r="J39" s="72"/>
      <c r="M39" s="57"/>
      <c r="N39" s="64">
        <f t="shared" ref="N39:O39" si="21">+SUM(N17:N38)</f>
        <v>59583836.851616099</v>
      </c>
      <c r="O39" s="65">
        <f t="shared" si="21"/>
        <v>28215614932.923729</v>
      </c>
      <c r="Q39" s="65">
        <f>+SUM(Q17:Q38)</f>
        <v>173180124.59068495</v>
      </c>
    </row>
    <row r="40" spans="3:17" ht="12.75" customHeight="1" x14ac:dyDescent="0.2">
      <c r="C40" s="8"/>
      <c r="D40" s="8"/>
      <c r="E40" s="8"/>
    </row>
    <row r="41" spans="3:17" x14ac:dyDescent="0.2">
      <c r="C41" s="8"/>
      <c r="D41" s="8"/>
      <c r="E41" s="8"/>
    </row>
    <row r="42" spans="3:17" x14ac:dyDescent="0.2">
      <c r="C42" s="8"/>
      <c r="D42" s="8"/>
      <c r="E42" s="8"/>
    </row>
    <row r="43" spans="3:17" x14ac:dyDescent="0.2">
      <c r="C43" s="8" t="s">
        <v>14</v>
      </c>
      <c r="D43" s="8"/>
      <c r="E43" s="8"/>
    </row>
    <row r="44" spans="3:17" x14ac:dyDescent="0.2">
      <c r="C44" s="8"/>
      <c r="D44" s="8"/>
      <c r="E44" s="8"/>
    </row>
    <row r="45" spans="3:17" x14ac:dyDescent="0.2">
      <c r="C45" s="8"/>
      <c r="D45" s="8"/>
      <c r="E45" s="8"/>
    </row>
    <row r="46" spans="3:17" x14ac:dyDescent="0.2">
      <c r="C46" s="8"/>
      <c r="D46" s="8"/>
      <c r="E46" s="8"/>
    </row>
    <row r="47" spans="3:17" x14ac:dyDescent="0.2">
      <c r="C47" s="8"/>
      <c r="D47" s="8"/>
      <c r="E47" s="8"/>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1">
    <mergeCell ref="C6:F6"/>
  </mergeCells>
  <conditionalFormatting sqref="G30:G38">
    <cfRule type="cellIs" dxfId="0"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6cae73-79f2-4910-bf82-244fb1d8f886" xsi:nil="true"/>
    <lcf76f155ced4ddcb4097134ff3c332f xmlns="21a7794b-8aaf-409d-b6ad-e1d4be0f4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6" ma:contentTypeDescription="Crear nuevo documento." ma:contentTypeScope="" ma:versionID="9fe1ada06e1f6bc7a5f20446ff32c0ef">
  <xsd:schema xmlns:xsd="http://www.w3.org/2001/XMLSchema" xmlns:xs="http://www.w3.org/2001/XMLSchema" xmlns:p="http://schemas.microsoft.com/office/2006/metadata/properties" xmlns:ns2="21a7794b-8aaf-409d-b6ad-e1d4be0f4a2f" xmlns:ns3="076cae73-79f2-4910-bf82-244fb1d8f886" targetNamespace="http://schemas.microsoft.com/office/2006/metadata/properties" ma:root="true" ma:fieldsID="92f152ca4b964342f6ddc3b505bb1ace" ns2:_="" ns3:_="">
    <xsd:import namespace="21a7794b-8aaf-409d-b6ad-e1d4be0f4a2f"/>
    <xsd:import namespace="076cae73-79f2-4910-bf82-244fb1d8f8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980bdfa6-6919-438f-9d92-8127f8fe31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6cae73-79f2-4910-bf82-244fb1d8f88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0e7b7b1-cdc4-4305-a2c8-380c929a0b28}" ma:internalName="TaxCatchAll" ma:showField="CatchAllData" ma:web="076cae73-79f2-4910-bf82-244fb1d8f88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561DA-2FFA-433D-BF8B-9F733BF73823}">
  <ds:schemaRefs>
    <ds:schemaRef ds:uri="http://schemas.microsoft.com/office/2006/metadata/properties"/>
    <ds:schemaRef ds:uri="http://schemas.microsoft.com/office/infopath/2007/PartnerControls"/>
    <ds:schemaRef ds:uri="076cae73-79f2-4910-bf82-244fb1d8f886"/>
    <ds:schemaRef ds:uri="21a7794b-8aaf-409d-b6ad-e1d4be0f4a2f"/>
  </ds:schemaRefs>
</ds:datastoreItem>
</file>

<file path=customXml/itemProps2.xml><?xml version="1.0" encoding="utf-8"?>
<ds:datastoreItem xmlns:ds="http://schemas.openxmlformats.org/officeDocument/2006/customXml" ds:itemID="{2A4B2AE3-6AB3-4915-B623-1575A22CF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076cae73-79f2-4910-bf82-244fb1d8f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554C7E-DA14-4ED9-8ABE-89EFEB325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VDFA</vt:lpstr>
      <vt:lpstr>VDFB</vt:lpstr>
      <vt:lpstr>VDFC</vt:lpstr>
      <vt:lpstr>VDFA!Área_de_impresión</vt:lpstr>
      <vt:lpstr>VDFB!Área_de_impresión</vt:lpstr>
      <vt:lpstr>VDFC!Área_de_impresión</vt:lpstr>
      <vt:lpstr>VDFA!Print_Area</vt:lpstr>
      <vt:lpstr>VDFB!Print_Area</vt:lpstr>
      <vt:lpstr>VDFC!Print_Area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Luis Jose Gomez Tovar</cp:lastModifiedBy>
  <cp:lastPrinted>2014-08-25T21:01:31Z</cp:lastPrinted>
  <dcterms:created xsi:type="dcterms:W3CDTF">2012-12-10T20:50:19Z</dcterms:created>
  <dcterms:modified xsi:type="dcterms:W3CDTF">2023-05-31T14:38:11Z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y fmtid="{D5CDD505-2E9C-101B-9397-08002B2CF9AE}" pid="3" name="MediaServiceImageTags">
    <vt:lpwstr/>
  </property>
</Properties>
</file>