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MIS\MIS 22\Difusion\"/>
    </mc:Choice>
  </mc:AlternateContent>
  <workbookProtection workbookAlgorithmName="SHA-512" workbookHashValue="QQZHia+BrvwOLdmHF4lI57dfeTfzq5X7rKW1e14mUPX1QijLbN9f+ZivXKgZPVrgwPUrqMM+y3glseM5mFrSJA==" workbookSaltValue="1uWGgbkb+K3emnY3bCtT5Q==" workbookSpinCount="100000" lockStructure="1"/>
  <bookViews>
    <workbookView xWindow="-28920" yWindow="-120" windowWidth="29040" windowHeight="8325"/>
  </bookViews>
  <sheets>
    <sheet name="VDF A" sheetId="7" r:id="rId1"/>
    <sheet name="VDF A teórico" sheetId="11" state="hidden" r:id="rId2"/>
    <sheet name="VDF B" sheetId="9" r:id="rId3"/>
    <sheet name="Tasa Badlar" sheetId="12" state="hidden" r:id="rId4"/>
  </sheets>
  <definedNames>
    <definedName name="_xlnm.Print_Area" localSheetId="0">'VDF A'!$A$6:$J$38</definedName>
    <definedName name="_xlnm.Print_Area" localSheetId="2">'VDF B'!$A$4:$J$30</definedName>
    <definedName name="VN" localSheetId="2">'VDF B'!$G$21</definedName>
    <definedName name="VN">'VDF A'!$G$21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7" l="1"/>
  <c r="X36" i="9" l="1"/>
  <c r="X35" i="9"/>
  <c r="X34" i="9"/>
  <c r="Q14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N56" i="9"/>
  <c r="N58" i="9"/>
  <c r="N57" i="9"/>
  <c r="M33" i="11"/>
  <c r="M32" i="11"/>
  <c r="M31" i="11"/>
  <c r="M30" i="11"/>
  <c r="M29" i="11"/>
  <c r="M28" i="11"/>
  <c r="M27" i="11"/>
  <c r="M26" i="11"/>
  <c r="M25" i="11"/>
  <c r="M24" i="11"/>
  <c r="S26" i="11"/>
  <c r="M52" i="11"/>
  <c r="M51" i="11"/>
  <c r="M50" i="11"/>
  <c r="M49" i="11"/>
  <c r="M48" i="11"/>
  <c r="M47" i="11"/>
  <c r="M46" i="11"/>
  <c r="M45" i="11"/>
  <c r="M44" i="11"/>
  <c r="M43" i="11"/>
  <c r="D12" i="11"/>
  <c r="C44" i="7"/>
  <c r="C45" i="7" s="1"/>
  <c r="C46" i="7" s="1"/>
  <c r="C47" i="7" s="1"/>
  <c r="C48" i="7" s="1"/>
  <c r="C49" i="7" s="1"/>
  <c r="C50" i="7" s="1"/>
  <c r="C51" i="7" s="1"/>
  <c r="C52" i="7" s="1"/>
  <c r="C53" i="7" s="1"/>
  <c r="D25" i="7"/>
  <c r="P14" i="7"/>
  <c r="H43" i="7" s="1"/>
  <c r="D38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D24" i="7"/>
  <c r="C41" i="12"/>
  <c r="Q15" i="9"/>
  <c r="G18" i="9"/>
  <c r="I23" i="9"/>
  <c r="C25" i="9"/>
  <c r="D25" i="9" s="1"/>
  <c r="C26" i="9"/>
  <c r="D26" i="9" s="1"/>
  <c r="C27" i="9"/>
  <c r="D27" i="9" s="1"/>
  <c r="C28" i="9"/>
  <c r="D28" i="9" s="1"/>
  <c r="C29" i="9"/>
  <c r="D29" i="9" s="1"/>
  <c r="C30" i="9"/>
  <c r="D30" i="9" s="1"/>
  <c r="C31" i="9"/>
  <c r="D31" i="9" s="1"/>
  <c r="C32" i="9"/>
  <c r="D32" i="9" s="1"/>
  <c r="C33" i="9"/>
  <c r="D33" i="9" s="1"/>
  <c r="U44" i="9"/>
  <c r="U45" i="9" s="1"/>
  <c r="H45" i="9"/>
  <c r="Q46" i="9" s="1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G12" i="11"/>
  <c r="G18" i="11" s="1"/>
  <c r="P14" i="11"/>
  <c r="I23" i="11"/>
  <c r="S24" i="11"/>
  <c r="C25" i="11"/>
  <c r="D25" i="11" s="1"/>
  <c r="S25" i="11"/>
  <c r="C26" i="11"/>
  <c r="D26" i="11"/>
  <c r="C27" i="11"/>
  <c r="D27" i="11" s="1"/>
  <c r="S27" i="11"/>
  <c r="C28" i="11"/>
  <c r="D28" i="11" s="1"/>
  <c r="C29" i="11"/>
  <c r="D29" i="11" s="1"/>
  <c r="S29" i="11"/>
  <c r="C30" i="11"/>
  <c r="D30" i="11" s="1"/>
  <c r="S30" i="11"/>
  <c r="C31" i="11"/>
  <c r="D31" i="11" s="1"/>
  <c r="S31" i="11"/>
  <c r="C32" i="11"/>
  <c r="D32" i="11" s="1"/>
  <c r="S32" i="11"/>
  <c r="C33" i="11"/>
  <c r="D33" i="11" s="1"/>
  <c r="S33" i="11"/>
  <c r="D35" i="11"/>
  <c r="H42" i="11"/>
  <c r="P43" i="11" s="1"/>
  <c r="F43" i="11" s="1"/>
  <c r="Q43" i="11" s="1"/>
  <c r="P15" i="7"/>
  <c r="G18" i="7"/>
  <c r="I23" i="7"/>
  <c r="L23" i="7"/>
  <c r="S23" i="7" s="1"/>
  <c r="L24" i="7"/>
  <c r="S24" i="7" s="1"/>
  <c r="L25" i="7"/>
  <c r="S25" i="7" s="1"/>
  <c r="D26" i="7"/>
  <c r="L26" i="7"/>
  <c r="S26" i="7" s="1"/>
  <c r="D27" i="7"/>
  <c r="L27" i="7"/>
  <c r="S27" i="7" s="1"/>
  <c r="D28" i="7"/>
  <c r="L28" i="7"/>
  <c r="S28" i="7" s="1"/>
  <c r="D29" i="7"/>
  <c r="L29" i="7"/>
  <c r="S29" i="7" s="1"/>
  <c r="D30" i="7"/>
  <c r="L30" i="7"/>
  <c r="S30" i="7"/>
  <c r="D31" i="7"/>
  <c r="L31" i="7"/>
  <c r="S31" i="7" s="1"/>
  <c r="D32" i="7"/>
  <c r="L32" i="7"/>
  <c r="S32" i="7" s="1"/>
  <c r="D33" i="7"/>
  <c r="L33" i="7"/>
  <c r="S33" i="7" s="1"/>
  <c r="U86" i="7"/>
  <c r="L44" i="7"/>
  <c r="M44" i="7"/>
  <c r="L45" i="7"/>
  <c r="M45" i="7"/>
  <c r="L46" i="7"/>
  <c r="M46" i="7"/>
  <c r="L47" i="7"/>
  <c r="M47" i="7"/>
  <c r="L48" i="7"/>
  <c r="M48" i="7"/>
  <c r="L49" i="7"/>
  <c r="M49" i="7"/>
  <c r="L50" i="7"/>
  <c r="M50" i="7"/>
  <c r="L51" i="7"/>
  <c r="M51" i="7"/>
  <c r="L52" i="7"/>
  <c r="M52" i="7"/>
  <c r="L53" i="7"/>
  <c r="M53" i="7"/>
  <c r="C24" i="11"/>
  <c r="D24" i="11" s="1"/>
  <c r="C24" i="9"/>
  <c r="D24" i="9" s="1"/>
  <c r="C34" i="9" l="1"/>
  <c r="Q24" i="9"/>
  <c r="P44" i="7"/>
  <c r="F44" i="7" s="1"/>
  <c r="Q44" i="7" s="1"/>
  <c r="T42" i="7"/>
  <c r="T43" i="7" s="1"/>
  <c r="M25" i="7" s="1"/>
  <c r="M31" i="7"/>
  <c r="M33" i="7"/>
  <c r="P24" i="7"/>
  <c r="M27" i="7"/>
  <c r="P24" i="11"/>
  <c r="G24" i="11" s="1"/>
  <c r="Q24" i="11" s="1"/>
  <c r="E43" i="11"/>
  <c r="P15" i="11"/>
  <c r="S28" i="11"/>
  <c r="U55" i="7"/>
  <c r="U63" i="7"/>
  <c r="U71" i="7"/>
  <c r="U79" i="7"/>
  <c r="U56" i="7"/>
  <c r="U64" i="7"/>
  <c r="U72" i="7"/>
  <c r="U80" i="7"/>
  <c r="U73" i="7"/>
  <c r="U58" i="7"/>
  <c r="U66" i="7"/>
  <c r="U74" i="7"/>
  <c r="U82" i="7"/>
  <c r="U57" i="7"/>
  <c r="U81" i="7"/>
  <c r="S23" i="11"/>
  <c r="U59" i="7"/>
  <c r="U67" i="7"/>
  <c r="U75" i="7"/>
  <c r="U83" i="7"/>
  <c r="U65" i="7"/>
  <c r="U60" i="7"/>
  <c r="U68" i="7"/>
  <c r="U76" i="7"/>
  <c r="U84" i="7"/>
  <c r="L43" i="7"/>
  <c r="U61" i="7"/>
  <c r="U69" i="7"/>
  <c r="U77" i="7"/>
  <c r="U85" i="7"/>
  <c r="U62" i="7"/>
  <c r="U70" i="7"/>
  <c r="U78" i="7"/>
  <c r="M32" i="7"/>
  <c r="M30" i="7"/>
  <c r="M28" i="7"/>
  <c r="M26" i="7"/>
  <c r="T36" i="9"/>
  <c r="T34" i="9"/>
  <c r="T32" i="9"/>
  <c r="T30" i="9"/>
  <c r="T28" i="9"/>
  <c r="T26" i="9"/>
  <c r="T24" i="9"/>
  <c r="T23" i="9"/>
  <c r="T35" i="9"/>
  <c r="T33" i="9"/>
  <c r="T31" i="9"/>
  <c r="T29" i="9"/>
  <c r="T27" i="9"/>
  <c r="T25" i="9"/>
  <c r="D34" i="9" l="1"/>
  <c r="C35" i="9"/>
  <c r="E44" i="7"/>
  <c r="D44" i="7" s="1"/>
  <c r="M24" i="7"/>
  <c r="G24" i="7" s="1"/>
  <c r="M29" i="7"/>
  <c r="G43" i="11"/>
  <c r="D43" i="11"/>
  <c r="H43" i="11"/>
  <c r="F24" i="11"/>
  <c r="M45" i="9"/>
  <c r="C36" i="9" l="1"/>
  <c r="D36" i="9" s="1"/>
  <c r="D35" i="9"/>
  <c r="H44" i="7"/>
  <c r="G44" i="7"/>
  <c r="U44" i="7" s="1"/>
  <c r="F24" i="7"/>
  <c r="Q24" i="7"/>
  <c r="N46" i="9"/>
  <c r="P44" i="11"/>
  <c r="E24" i="11"/>
  <c r="H24" i="11"/>
  <c r="I24" i="11"/>
  <c r="P45" i="7"/>
  <c r="E24" i="7" l="1"/>
  <c r="I24" i="7"/>
  <c r="P25" i="7" s="1"/>
  <c r="G25" i="7" s="1"/>
  <c r="Q25" i="7" s="1"/>
  <c r="H24" i="7"/>
  <c r="F44" i="11"/>
  <c r="Q44" i="11" s="1"/>
  <c r="F46" i="9"/>
  <c r="P25" i="11"/>
  <c r="X24" i="9"/>
  <c r="N24" i="9" s="1"/>
  <c r="F45" i="7"/>
  <c r="F25" i="7" l="1"/>
  <c r="H25" i="7" s="1"/>
  <c r="R46" i="9"/>
  <c r="E46" i="9"/>
  <c r="E44" i="11"/>
  <c r="G25" i="11"/>
  <c r="Q25" i="11" s="1"/>
  <c r="G24" i="9"/>
  <c r="F24" i="9" s="1"/>
  <c r="E45" i="7"/>
  <c r="Q45" i="7"/>
  <c r="E25" i="7" l="1"/>
  <c r="I25" i="7"/>
  <c r="P26" i="7" s="1"/>
  <c r="D44" i="11"/>
  <c r="G44" i="11"/>
  <c r="H44" i="11"/>
  <c r="H46" i="9"/>
  <c r="D46" i="9"/>
  <c r="G46" i="9"/>
  <c r="H24" i="9"/>
  <c r="I24" i="9"/>
  <c r="E24" i="9"/>
  <c r="R24" i="9"/>
  <c r="F25" i="11"/>
  <c r="D45" i="7"/>
  <c r="G45" i="7"/>
  <c r="U45" i="7" s="1"/>
  <c r="H45" i="7"/>
  <c r="Q47" i="9" l="1"/>
  <c r="V46" i="9"/>
  <c r="P45" i="11"/>
  <c r="N47" i="9"/>
  <c r="E25" i="11"/>
  <c r="H25" i="11"/>
  <c r="I25" i="11"/>
  <c r="Q25" i="9"/>
  <c r="P46" i="7"/>
  <c r="G26" i="7"/>
  <c r="Q26" i="7" s="1"/>
  <c r="F45" i="11" l="1"/>
  <c r="F47" i="9"/>
  <c r="X25" i="9"/>
  <c r="N25" i="9" s="1"/>
  <c r="P26" i="11"/>
  <c r="F46" i="7"/>
  <c r="Q46" i="7" s="1"/>
  <c r="F26" i="7"/>
  <c r="R47" i="9" l="1"/>
  <c r="E45" i="11"/>
  <c r="Q45" i="11"/>
  <c r="E47" i="9"/>
  <c r="G26" i="11"/>
  <c r="G25" i="9"/>
  <c r="E46" i="7"/>
  <c r="H26" i="7"/>
  <c r="E26" i="7"/>
  <c r="I26" i="7"/>
  <c r="D45" i="11" l="1"/>
  <c r="G45" i="11"/>
  <c r="H45" i="11"/>
  <c r="G47" i="9"/>
  <c r="V47" i="9" s="1"/>
  <c r="D47" i="9"/>
  <c r="H47" i="9"/>
  <c r="F26" i="11"/>
  <c r="R25" i="9"/>
  <c r="F25" i="9"/>
  <c r="Q26" i="11"/>
  <c r="D46" i="7"/>
  <c r="G46" i="7"/>
  <c r="U46" i="7" s="1"/>
  <c r="H46" i="7"/>
  <c r="P27" i="7"/>
  <c r="Q48" i="9" l="1"/>
  <c r="P46" i="11"/>
  <c r="N48" i="9"/>
  <c r="E25" i="9"/>
  <c r="H25" i="9"/>
  <c r="I25" i="9"/>
  <c r="H26" i="11"/>
  <c r="E26" i="11"/>
  <c r="I26" i="11"/>
  <c r="P47" i="7"/>
  <c r="G27" i="7"/>
  <c r="F46" i="11" l="1"/>
  <c r="F48" i="9"/>
  <c r="R48" i="9" s="1"/>
  <c r="X26" i="9"/>
  <c r="N26" i="9" s="1"/>
  <c r="Q26" i="9"/>
  <c r="P27" i="11"/>
  <c r="F47" i="7"/>
  <c r="Q47" i="7" s="1"/>
  <c r="F27" i="7"/>
  <c r="Q27" i="7"/>
  <c r="E46" i="11" l="1"/>
  <c r="Q46" i="11"/>
  <c r="E48" i="9"/>
  <c r="G27" i="11"/>
  <c r="G26" i="9"/>
  <c r="F26" i="9" s="1"/>
  <c r="E47" i="7"/>
  <c r="E27" i="7"/>
  <c r="H27" i="7"/>
  <c r="I27" i="7"/>
  <c r="G48" i="9" l="1"/>
  <c r="V48" i="9" s="1"/>
  <c r="D48" i="9"/>
  <c r="H48" i="9"/>
  <c r="D46" i="11"/>
  <c r="G46" i="11"/>
  <c r="H46" i="11"/>
  <c r="H26" i="9"/>
  <c r="E26" i="9"/>
  <c r="I26" i="9"/>
  <c r="F27" i="11"/>
  <c r="Q27" i="11"/>
  <c r="R26" i="9"/>
  <c r="G47" i="7"/>
  <c r="U47" i="7" s="1"/>
  <c r="D47" i="7"/>
  <c r="H47" i="7"/>
  <c r="P28" i="7"/>
  <c r="Q49" i="9" l="1"/>
  <c r="N49" i="9"/>
  <c r="P47" i="11"/>
  <c r="E27" i="11"/>
  <c r="H27" i="11"/>
  <c r="I27" i="11"/>
  <c r="Q27" i="9"/>
  <c r="P48" i="7"/>
  <c r="G28" i="7"/>
  <c r="F28" i="7" s="1"/>
  <c r="F49" i="9" l="1"/>
  <c r="E49" i="9" s="1"/>
  <c r="F47" i="11"/>
  <c r="P28" i="11"/>
  <c r="X27" i="9"/>
  <c r="N27" i="9" s="1"/>
  <c r="F48" i="7"/>
  <c r="Q28" i="7"/>
  <c r="E28" i="7"/>
  <c r="H28" i="7"/>
  <c r="I28" i="7"/>
  <c r="D49" i="9" l="1"/>
  <c r="G49" i="9"/>
  <c r="V49" i="9" s="1"/>
  <c r="H49" i="9"/>
  <c r="E47" i="11"/>
  <c r="R49" i="9"/>
  <c r="Q47" i="11"/>
  <c r="G27" i="9"/>
  <c r="G28" i="11"/>
  <c r="E48" i="7"/>
  <c r="Q48" i="7"/>
  <c r="P29" i="7"/>
  <c r="Q50" i="9" l="1"/>
  <c r="D47" i="11"/>
  <c r="G47" i="11"/>
  <c r="H47" i="11"/>
  <c r="F28" i="11"/>
  <c r="R27" i="9"/>
  <c r="Q28" i="11"/>
  <c r="F27" i="9"/>
  <c r="D48" i="7"/>
  <c r="G48" i="7"/>
  <c r="U48" i="7" s="1"/>
  <c r="H48" i="7"/>
  <c r="G29" i="7"/>
  <c r="F29" i="7" s="1"/>
  <c r="P48" i="11" l="1"/>
  <c r="N50" i="9"/>
  <c r="E27" i="9"/>
  <c r="H27" i="9"/>
  <c r="I27" i="9"/>
  <c r="H28" i="11"/>
  <c r="E28" i="11"/>
  <c r="I28" i="11"/>
  <c r="P49" i="7"/>
  <c r="E29" i="7"/>
  <c r="H29" i="7"/>
  <c r="I29" i="7"/>
  <c r="Q29" i="7"/>
  <c r="F48" i="11" l="1"/>
  <c r="F50" i="9"/>
  <c r="R50" i="9" s="1"/>
  <c r="Q28" i="9"/>
  <c r="X28" i="9"/>
  <c r="N28" i="9" s="1"/>
  <c r="P29" i="11"/>
  <c r="F49" i="7"/>
  <c r="E49" i="7" s="1"/>
  <c r="P30" i="7"/>
  <c r="G30" i="7" s="1"/>
  <c r="F30" i="7" s="1"/>
  <c r="G28" i="9" l="1"/>
  <c r="F28" i="9" s="1"/>
  <c r="H28" i="9" s="1"/>
  <c r="E48" i="11"/>
  <c r="Q48" i="11"/>
  <c r="E50" i="9"/>
  <c r="G29" i="11"/>
  <c r="F29" i="11" s="1"/>
  <c r="D49" i="7"/>
  <c r="G49" i="7"/>
  <c r="U49" i="7" s="1"/>
  <c r="H49" i="7"/>
  <c r="Q49" i="7"/>
  <c r="Q30" i="7"/>
  <c r="H30" i="7"/>
  <c r="E30" i="7"/>
  <c r="I30" i="7"/>
  <c r="I28" i="9" l="1"/>
  <c r="G48" i="11"/>
  <c r="N51" i="9" s="1"/>
  <c r="D48" i="11"/>
  <c r="H48" i="11"/>
  <c r="D50" i="9"/>
  <c r="G50" i="9"/>
  <c r="V50" i="9" s="1"/>
  <c r="H50" i="9"/>
  <c r="E28" i="9"/>
  <c r="Q29" i="11"/>
  <c r="H29" i="11"/>
  <c r="E29" i="11"/>
  <c r="I29" i="11"/>
  <c r="R28" i="9"/>
  <c r="P50" i="7"/>
  <c r="P31" i="7"/>
  <c r="Q51" i="9" l="1"/>
  <c r="P49" i="11"/>
  <c r="P30" i="11"/>
  <c r="G30" i="11" s="1"/>
  <c r="F30" i="11" s="1"/>
  <c r="X29" i="9"/>
  <c r="N29" i="9" s="1"/>
  <c r="Q29" i="9"/>
  <c r="F50" i="7"/>
  <c r="E50" i="7" s="1"/>
  <c r="G31" i="7"/>
  <c r="F31" i="7" s="1"/>
  <c r="G29" i="9" l="1"/>
  <c r="F29" i="9" s="1"/>
  <c r="I29" i="9" s="1"/>
  <c r="F49" i="11"/>
  <c r="E49" i="11" s="1"/>
  <c r="F51" i="9"/>
  <c r="E51" i="9" s="1"/>
  <c r="H30" i="11"/>
  <c r="E30" i="11"/>
  <c r="I30" i="11"/>
  <c r="Q30" i="11"/>
  <c r="Q50" i="7"/>
  <c r="D50" i="7"/>
  <c r="G50" i="7"/>
  <c r="U50" i="7" s="1"/>
  <c r="H50" i="7"/>
  <c r="Q31" i="7"/>
  <c r="H31" i="7"/>
  <c r="E31" i="7"/>
  <c r="I31" i="7"/>
  <c r="H29" i="9" l="1"/>
  <c r="R29" i="9"/>
  <c r="R51" i="9"/>
  <c r="D51" i="9"/>
  <c r="G51" i="9"/>
  <c r="V51" i="9" s="1"/>
  <c r="H51" i="9"/>
  <c r="D49" i="11"/>
  <c r="G49" i="11"/>
  <c r="N52" i="9" s="1"/>
  <c r="H49" i="11"/>
  <c r="Q49" i="11"/>
  <c r="P31" i="11"/>
  <c r="G31" i="11" s="1"/>
  <c r="F31" i="11" s="1"/>
  <c r="X30" i="9"/>
  <c r="N30" i="9" s="1"/>
  <c r="E29" i="9"/>
  <c r="P51" i="7"/>
  <c r="P32" i="7"/>
  <c r="P50" i="11" l="1"/>
  <c r="F50" i="11" s="1"/>
  <c r="Q50" i="11" s="1"/>
  <c r="Q52" i="9"/>
  <c r="Q31" i="11"/>
  <c r="H31" i="11"/>
  <c r="E31" i="11"/>
  <c r="I31" i="11"/>
  <c r="Q30" i="9"/>
  <c r="G30" i="9" s="1"/>
  <c r="F30" i="9" s="1"/>
  <c r="F51" i="7"/>
  <c r="E51" i="7" s="1"/>
  <c r="G32" i="7"/>
  <c r="F32" i="7" s="1"/>
  <c r="H30" i="9" l="1"/>
  <c r="I30" i="9"/>
  <c r="E50" i="11"/>
  <c r="F52" i="9"/>
  <c r="E52" i="9" s="1"/>
  <c r="P32" i="11"/>
  <c r="X31" i="9"/>
  <c r="N31" i="9" s="1"/>
  <c r="D51" i="7"/>
  <c r="G51" i="7"/>
  <c r="U51" i="7" s="1"/>
  <c r="H51" i="7"/>
  <c r="Q51" i="7"/>
  <c r="Q32" i="7"/>
  <c r="E32" i="7"/>
  <c r="H32" i="7"/>
  <c r="I32" i="7"/>
  <c r="D50" i="11" l="1"/>
  <c r="G50" i="11"/>
  <c r="N53" i="9" s="1"/>
  <c r="H50" i="11"/>
  <c r="G52" i="9"/>
  <c r="V52" i="9" s="1"/>
  <c r="D52" i="9"/>
  <c r="H52" i="9"/>
  <c r="R52" i="9"/>
  <c r="E30" i="9"/>
  <c r="G32" i="11"/>
  <c r="F32" i="11" s="1"/>
  <c r="R30" i="9"/>
  <c r="P52" i="7"/>
  <c r="F52" i="7" s="1"/>
  <c r="E52" i="7" s="1"/>
  <c r="P33" i="7"/>
  <c r="Q53" i="9" l="1"/>
  <c r="P51" i="11"/>
  <c r="Q32" i="11"/>
  <c r="H32" i="11"/>
  <c r="E32" i="11"/>
  <c r="I32" i="11"/>
  <c r="Q31" i="9"/>
  <c r="G31" i="9" s="1"/>
  <c r="F31" i="9" s="1"/>
  <c r="D52" i="7"/>
  <c r="G52" i="7"/>
  <c r="U52" i="7" s="1"/>
  <c r="H52" i="7"/>
  <c r="Q52" i="7"/>
  <c r="G33" i="7"/>
  <c r="F33" i="7" s="1"/>
  <c r="H31" i="9" l="1"/>
  <c r="I31" i="9"/>
  <c r="F51" i="11"/>
  <c r="E51" i="11" s="1"/>
  <c r="F53" i="9"/>
  <c r="E53" i="9" s="1"/>
  <c r="R31" i="9"/>
  <c r="P33" i="11"/>
  <c r="G33" i="11" s="1"/>
  <c r="X32" i="9"/>
  <c r="N32" i="9" s="1"/>
  <c r="P53" i="7"/>
  <c r="F53" i="7" s="1"/>
  <c r="Q33" i="7"/>
  <c r="H33" i="7"/>
  <c r="E33" i="7"/>
  <c r="I33" i="7"/>
  <c r="D53" i="9" l="1"/>
  <c r="G53" i="9"/>
  <c r="V53" i="9" s="1"/>
  <c r="H53" i="9"/>
  <c r="D51" i="11"/>
  <c r="G51" i="11"/>
  <c r="N54" i="9" s="1"/>
  <c r="H51" i="11"/>
  <c r="Q51" i="11"/>
  <c r="R53" i="9"/>
  <c r="Q33" i="11"/>
  <c r="F33" i="11"/>
  <c r="E31" i="9"/>
  <c r="Q53" i="7"/>
  <c r="E53" i="7"/>
  <c r="Q54" i="9" l="1"/>
  <c r="P52" i="11"/>
  <c r="F52" i="11" s="1"/>
  <c r="E52" i="11" s="1"/>
  <c r="H52" i="11" s="1"/>
  <c r="Q32" i="9"/>
  <c r="G32" i="9" s="1"/>
  <c r="F32" i="9" s="1"/>
  <c r="E33" i="11"/>
  <c r="H33" i="11"/>
  <c r="I33" i="11"/>
  <c r="D53" i="7"/>
  <c r="G53" i="7"/>
  <c r="U53" i="7" s="1"/>
  <c r="H53" i="7"/>
  <c r="H32" i="9" l="1"/>
  <c r="I32" i="9"/>
  <c r="Q52" i="11"/>
  <c r="F54" i="9"/>
  <c r="E54" i="9" s="1"/>
  <c r="G52" i="11"/>
  <c r="N55" i="9" s="1"/>
  <c r="D52" i="11"/>
  <c r="X33" i="9"/>
  <c r="N33" i="9" s="1"/>
  <c r="R54" i="9" l="1"/>
  <c r="D54" i="9"/>
  <c r="G54" i="9"/>
  <c r="V54" i="9" s="1"/>
  <c r="H54" i="9"/>
  <c r="E32" i="9"/>
  <c r="R32" i="9"/>
  <c r="Q55" i="9" l="1"/>
  <c r="Q33" i="9"/>
  <c r="G33" i="9" s="1"/>
  <c r="F33" i="9" s="1"/>
  <c r="H33" i="9" l="1"/>
  <c r="I33" i="9"/>
  <c r="Q34" i="9" s="1"/>
  <c r="F55" i="9"/>
  <c r="E55" i="9" s="1"/>
  <c r="N34" i="9"/>
  <c r="R55" i="9" l="1"/>
  <c r="G55" i="9"/>
  <c r="V55" i="9" s="1"/>
  <c r="D55" i="9"/>
  <c r="H55" i="9"/>
  <c r="Q56" i="9" s="1"/>
  <c r="E33" i="9"/>
  <c r="R33" i="9"/>
  <c r="G34" i="9" s="1"/>
  <c r="N35" i="9" l="1"/>
  <c r="F34" i="9"/>
  <c r="R34" i="9" l="1"/>
  <c r="H34" i="9"/>
  <c r="I34" i="9"/>
  <c r="Q35" i="9" s="1"/>
  <c r="F56" i="9"/>
  <c r="E56" i="9" l="1"/>
  <c r="H56" i="9" s="1"/>
  <c r="Q57" i="9" s="1"/>
  <c r="R56" i="9"/>
  <c r="E34" i="9"/>
  <c r="G35" i="7"/>
  <c r="G56" i="9" l="1"/>
  <c r="V56" i="9" s="1"/>
  <c r="D56" i="9"/>
  <c r="F57" i="9"/>
  <c r="R57" i="9" s="1"/>
  <c r="G34" i="11"/>
  <c r="G35" i="9"/>
  <c r="F35" i="9" s="1"/>
  <c r="I35" i="9" s="1"/>
  <c r="Q36" i="9" s="1"/>
  <c r="N36" i="9"/>
  <c r="E35" i="7"/>
  <c r="F35" i="7"/>
  <c r="F36" i="9" l="1"/>
  <c r="I36" i="9" s="1"/>
  <c r="H35" i="9"/>
  <c r="R35" i="9"/>
  <c r="E57" i="9"/>
  <c r="H57" i="9" s="1"/>
  <c r="Q58" i="9" s="1"/>
  <c r="F53" i="11"/>
  <c r="E35" i="9"/>
  <c r="H35" i="7"/>
  <c r="G57" i="9" l="1"/>
  <c r="V57" i="9" s="1"/>
  <c r="D53" i="11"/>
  <c r="E53" i="11"/>
  <c r="D57" i="9"/>
  <c r="E34" i="11"/>
  <c r="F34" i="11"/>
  <c r="G36" i="9"/>
  <c r="H36" i="9" s="1"/>
  <c r="F54" i="7"/>
  <c r="R36" i="9" l="1"/>
  <c r="G13" i="11"/>
  <c r="H23" i="11" s="1"/>
  <c r="G15" i="11" s="1"/>
  <c r="G53" i="11"/>
  <c r="F58" i="9"/>
  <c r="E36" i="9"/>
  <c r="H34" i="11"/>
  <c r="D54" i="7"/>
  <c r="E54" i="7"/>
  <c r="G54" i="7" s="1"/>
  <c r="R58" i="9" l="1"/>
  <c r="E58" i="9"/>
  <c r="H58" i="9" s="1"/>
  <c r="U43" i="7"/>
  <c r="G13" i="7" s="1"/>
  <c r="H23" i="7" s="1"/>
  <c r="G15" i="7" s="1"/>
  <c r="T28" i="11"/>
  <c r="U28" i="11" s="1"/>
  <c r="T32" i="11"/>
  <c r="U32" i="11" s="1"/>
  <c r="T29" i="11"/>
  <c r="U29" i="11" s="1"/>
  <c r="T33" i="11"/>
  <c r="U33" i="11" s="1"/>
  <c r="T30" i="11"/>
  <c r="U30" i="11" s="1"/>
  <c r="T26" i="11"/>
  <c r="U26" i="11" s="1"/>
  <c r="G16" i="11"/>
  <c r="G17" i="11" s="1"/>
  <c r="T31" i="11"/>
  <c r="U31" i="11" s="1"/>
  <c r="T25" i="11"/>
  <c r="U25" i="11" s="1"/>
  <c r="T27" i="11"/>
  <c r="U27" i="11" s="1"/>
  <c r="T24" i="11"/>
  <c r="G58" i="9" l="1"/>
  <c r="V58" i="9" s="1"/>
  <c r="T32" i="7"/>
  <c r="U32" i="7" s="1"/>
  <c r="T29" i="7"/>
  <c r="U29" i="7" s="1"/>
  <c r="T25" i="7"/>
  <c r="U25" i="7" s="1"/>
  <c r="T31" i="7"/>
  <c r="U31" i="7" s="1"/>
  <c r="T33" i="7"/>
  <c r="U33" i="7" s="1"/>
  <c r="G16" i="7"/>
  <c r="G17" i="7" s="1"/>
  <c r="T30" i="7"/>
  <c r="U30" i="7" s="1"/>
  <c r="T27" i="7"/>
  <c r="U27" i="7" s="1"/>
  <c r="T28" i="7"/>
  <c r="U28" i="7" s="1"/>
  <c r="T24" i="7"/>
  <c r="T26" i="7"/>
  <c r="U26" i="7" s="1"/>
  <c r="U24" i="11"/>
  <c r="U34" i="11" s="1"/>
  <c r="T34" i="11"/>
  <c r="D58" i="9"/>
  <c r="T37" i="7" l="1"/>
  <c r="U24" i="7"/>
  <c r="U37" i="7" s="1"/>
  <c r="U35" i="11"/>
  <c r="U36" i="11" s="1"/>
  <c r="G14" i="11" s="1"/>
  <c r="U38" i="7" l="1"/>
  <c r="U39" i="7" s="1"/>
  <c r="G14" i="7" s="1"/>
  <c r="F59" i="9" l="1"/>
  <c r="E59" i="9" l="1"/>
  <c r="D59" i="9"/>
  <c r="V45" i="9" l="1"/>
  <c r="G59" i="9"/>
  <c r="G13" i="9" l="1"/>
  <c r="H23" i="9" s="1"/>
  <c r="G37" i="9"/>
  <c r="E37" i="9" l="1"/>
  <c r="F37" i="9"/>
  <c r="G15" i="9" l="1"/>
  <c r="H37" i="9"/>
  <c r="U28" i="9" l="1"/>
  <c r="V28" i="9" s="1"/>
  <c r="U32" i="9"/>
  <c r="V32" i="9" s="1"/>
  <c r="U27" i="9"/>
  <c r="V27" i="9" s="1"/>
  <c r="U26" i="9"/>
  <c r="V26" i="9" s="1"/>
  <c r="U33" i="9"/>
  <c r="V33" i="9" s="1"/>
  <c r="U25" i="9"/>
  <c r="V25" i="9" s="1"/>
  <c r="U24" i="9"/>
  <c r="V24" i="9" s="1"/>
  <c r="U31" i="9"/>
  <c r="V31" i="9" s="1"/>
  <c r="U30" i="9"/>
  <c r="V30" i="9" s="1"/>
  <c r="U29" i="9"/>
  <c r="V29" i="9" s="1"/>
  <c r="U34" i="9"/>
  <c r="V34" i="9" s="1"/>
  <c r="U35" i="9"/>
  <c r="V35" i="9" s="1"/>
  <c r="U36" i="9"/>
  <c r="V36" i="9" s="1"/>
  <c r="G16" i="9"/>
  <c r="G17" i="9" s="1"/>
  <c r="V37" i="9" l="1"/>
  <c r="U37" i="9"/>
  <c r="V38" i="9" l="1"/>
  <c r="V39" i="9" s="1"/>
  <c r="G14" i="9" s="1"/>
</calcChain>
</file>

<file path=xl/sharedStrings.xml><?xml version="1.0" encoding="utf-8"?>
<sst xmlns="http://schemas.openxmlformats.org/spreadsheetml/2006/main" count="171" uniqueCount="44">
  <si>
    <t>Fecha</t>
  </si>
  <si>
    <t>Amortización</t>
  </si>
  <si>
    <t>Interés</t>
  </si>
  <si>
    <t>Días</t>
  </si>
  <si>
    <t>Total Flujo</t>
  </si>
  <si>
    <t>Duration</t>
  </si>
  <si>
    <t>% Amortiz.</t>
  </si>
  <si>
    <t>Precio de Corte:</t>
  </si>
  <si>
    <t>Saldo de Capital</t>
  </si>
  <si>
    <t>Spread:</t>
  </si>
  <si>
    <t>Duration (meses):</t>
  </si>
  <si>
    <t>TIR REAL:</t>
  </si>
  <si>
    <t>Valor Nominal:</t>
  </si>
  <si>
    <t>TIR Solicitada:</t>
  </si>
  <si>
    <t>TNA:</t>
  </si>
  <si>
    <t>Spread sobre Badlar:</t>
  </si>
  <si>
    <t>Mínimo</t>
  </si>
  <si>
    <t>Máximo</t>
  </si>
  <si>
    <t>Dev. VDF B</t>
  </si>
  <si>
    <t>(Cupón Mínimo)</t>
  </si>
  <si>
    <t>Flujo Disponible</t>
  </si>
  <si>
    <t>Interés Período Devengado</t>
  </si>
  <si>
    <t>Interés Acumulado a Pagar</t>
  </si>
  <si>
    <t>Fecha Devengamiento</t>
  </si>
  <si>
    <t>VP</t>
  </si>
  <si>
    <t>Dev. VDF A</t>
  </si>
  <si>
    <t>VDF A</t>
  </si>
  <si>
    <t>VDF B</t>
  </si>
  <si>
    <t>Cupón</t>
  </si>
  <si>
    <t>Cupón Mínimo</t>
  </si>
  <si>
    <t>Flujo de Fondos Teórico al Cupón Mínimo</t>
  </si>
  <si>
    <t>Instrucciones</t>
  </si>
  <si>
    <t>Tasa Badlar Proyectada</t>
  </si>
  <si>
    <t>Spread s/Badlar:</t>
  </si>
  <si>
    <t>(*)</t>
  </si>
  <si>
    <t>(*) Última Tasa Badlar informada</t>
  </si>
  <si>
    <t>Flujo de Fondos Real</t>
  </si>
  <si>
    <t>Promedio</t>
  </si>
  <si>
    <t>1er Pago de Servicios</t>
  </si>
  <si>
    <t>En las celdas D12 y G12 coloque la cantidad de títulos a suscribir y la TIR ofertada. En la columna C cargar la Tasa Badlar estimada. En la celda D40 indicar la última Tasa Badlar informada.</t>
  </si>
  <si>
    <t>En las celdas D12 y G12 coloque la cantidad de títulos a suscribir y la TIR ofertada. En la columna C cargar la Tasa Badlar estimada. En la celda D39 indicar la última Tasa Badlar informada.</t>
  </si>
  <si>
    <t>En las celdas D12 y G12 coloque la cantidad de títulos a suscribir y la TIR ofertada. En la columna C cargar la Tasa Badlar estimada. En la celda D43 indicar la última Tasa Badlar informada.</t>
  </si>
  <si>
    <t>Calculadora Fideicomiso Financiero MIS XXII (VDF A)</t>
  </si>
  <si>
    <t>Calculadora Fideicomiso Financiero MIS XXII (VDF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</si>
</sst>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&quot;$&quot;\ #,##0;&quot;$&quot;\ \-#,##0"/>
    <numFmt numFmtId="165" formatCode="&quot;$&quot;\ #,##0;[Red]&quot;$&quot;\ \-#,##0"/>
    <numFmt numFmtId="166" formatCode="&quot;$&quot;\ #,##0.00;&quot;$&quot;\ \-#,##0.00"/>
    <numFmt numFmtId="167" formatCode="&quot;$&quot;\ #,##0.00;[Red]&quot;$&quot;\ \-#,##0.00"/>
    <numFmt numFmtId="168" formatCode="_ * #,##0.00_ ;_ * \-#,##0.00_ ;_ * &quot;-&quot;??_ ;_ @_ "/>
    <numFmt numFmtId="169" formatCode="_-* #,##0.00\ _P_t_s_-;\-* #,##0.00\ _P_t_s_-;_-* &quot;-&quot;??\ _P_t_s_-;_-@_-"/>
    <numFmt numFmtId="170" formatCode="_-* #,##0\ _P_t_s_-;\-* #,##0\ _P_t_s_-;_-* &quot;-&quot;??\ _P_t_s_-;_-@_-"/>
    <numFmt numFmtId="171" formatCode="_-* #,##0.00\ [$€]_-;\-* #,##0.00\ [$€]_-;_-* &quot;-&quot;??\ [$€]_-;_-@_-"/>
    <numFmt numFmtId="172" formatCode="0.0000%"/>
    <numFmt numFmtId="173" formatCode="&quot;$&quot;\ #,##0.000000;&quot;$&quot;\ \-#,##0.000000"/>
    <numFmt numFmtId="174" formatCode="&quot;$&quot;\ #,##0.0000;&quot;$&quot;\ \-#,##0.0000"/>
    <numFmt numFmtId="175" formatCode="0.000%"/>
    <numFmt numFmtId="176" formatCode="0.0000"/>
    <numFmt numFmtId="177" formatCode="_-* #,##0.000\ _P_t_s_-;\-* #,##0.000\ _P_t_s_-;_-* &quot;-&quot;??\ _P_t_s_-;_-@_-"/>
    <numFmt numFmtId="178" formatCode="0.00000%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Roboto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2" tint="-0.749992370372631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8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499984740745262"/>
      </right>
      <top/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theme="2" tint="-0.499984740745262"/>
      </top>
      <bottom style="thin">
        <color theme="2" tint="-0.499984740745262"/>
      </bottom>
      <diagonal/>
    </border>
  </borders>
  <cellStyleXfs count="6">
    <xf numFmtId="0" fontId="0" fillId="0" borderId="0"/>
    <xf numFmtId="0" fontId="2" fillId="0" borderId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9">
    <xf numFmtId="0" fontId="0" fillId="0" borderId="0" xfId="0"/>
    <xf numFmtId="0" fontId="10" fillId="2" borderId="0" xfId="0" applyFont="1" applyFill="1" applyBorder="1" applyProtection="1">
      <protection hidden="1"/>
    </xf>
    <xf numFmtId="0" fontId="10" fillId="2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11" fillId="3" borderId="0" xfId="0" applyFont="1" applyFill="1" applyBorder="1" applyProtection="1">
      <protection hidden="1"/>
    </xf>
    <xf numFmtId="0" fontId="11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16" fontId="11" fillId="3" borderId="0" xfId="0" applyNumberFormat="1" applyFont="1" applyFill="1" applyProtection="1">
      <protection hidden="1"/>
    </xf>
    <xf numFmtId="0" fontId="10" fillId="2" borderId="1" xfId="0" applyFont="1" applyFill="1" applyBorder="1" applyProtection="1">
      <protection hidden="1"/>
    </xf>
    <xf numFmtId="0" fontId="10" fillId="4" borderId="0" xfId="0" applyFont="1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10" fontId="12" fillId="2" borderId="0" xfId="5" applyNumberFormat="1" applyFont="1" applyFill="1" applyBorder="1" applyProtection="1">
      <protection hidden="1"/>
    </xf>
    <xf numFmtId="0" fontId="10" fillId="3" borderId="0" xfId="0" applyFont="1" applyFill="1" applyProtection="1">
      <protection hidden="1"/>
    </xf>
    <xf numFmtId="0" fontId="12" fillId="3" borderId="2" xfId="0" applyFont="1" applyFill="1" applyBorder="1" applyProtection="1">
      <protection hidden="1"/>
    </xf>
    <xf numFmtId="167" fontId="12" fillId="3" borderId="3" xfId="3" applyNumberFormat="1" applyFont="1" applyFill="1" applyBorder="1" applyAlignment="1" applyProtection="1">
      <protection hidden="1"/>
    </xf>
    <xf numFmtId="0" fontId="10" fillId="5" borderId="0" xfId="0" applyFont="1" applyFill="1" applyProtection="1">
      <protection hidden="1"/>
    </xf>
    <xf numFmtId="0" fontId="10" fillId="5" borderId="0" xfId="0" applyFont="1" applyFill="1" applyBorder="1" applyProtection="1">
      <protection hidden="1"/>
    </xf>
    <xf numFmtId="10" fontId="10" fillId="2" borderId="0" xfId="0" applyNumberFormat="1" applyFont="1" applyFill="1" applyBorder="1" applyProtection="1">
      <protection hidden="1"/>
    </xf>
    <xf numFmtId="0" fontId="12" fillId="3" borderId="4" xfId="0" applyFont="1" applyFill="1" applyBorder="1" applyProtection="1">
      <protection hidden="1"/>
    </xf>
    <xf numFmtId="172" fontId="12" fillId="3" borderId="5" xfId="5" applyNumberFormat="1" applyFont="1" applyFill="1" applyBorder="1" applyProtection="1">
      <protection hidden="1"/>
    </xf>
    <xf numFmtId="172" fontId="13" fillId="5" borderId="0" xfId="5" applyNumberFormat="1" applyFont="1" applyFill="1" applyBorder="1" applyProtection="1">
      <protection hidden="1"/>
    </xf>
    <xf numFmtId="0" fontId="13" fillId="5" borderId="0" xfId="0" applyFont="1" applyFill="1" applyBorder="1" applyProtection="1">
      <protection hidden="1"/>
    </xf>
    <xf numFmtId="0" fontId="12" fillId="4" borderId="0" xfId="0" applyFont="1" applyFill="1" applyBorder="1" applyProtection="1">
      <protection hidden="1"/>
    </xf>
    <xf numFmtId="10" fontId="12" fillId="4" borderId="0" xfId="0" applyNumberFormat="1" applyFont="1" applyFill="1" applyBorder="1" applyAlignment="1" applyProtection="1">
      <alignment horizontal="center"/>
      <protection hidden="1"/>
    </xf>
    <xf numFmtId="10" fontId="14" fillId="2" borderId="0" xfId="0" applyNumberFormat="1" applyFont="1" applyFill="1" applyBorder="1" applyProtection="1">
      <protection hidden="1"/>
    </xf>
    <xf numFmtId="10" fontId="12" fillId="4" borderId="0" xfId="5" applyNumberFormat="1" applyFont="1" applyFill="1" applyBorder="1" applyProtection="1">
      <protection hidden="1"/>
    </xf>
    <xf numFmtId="0" fontId="12" fillId="3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0" xfId="0" applyFont="1" applyFill="1" applyBorder="1" applyAlignment="1" applyProtection="1">
      <alignment horizontal="center" vertical="center" wrapText="1"/>
      <protection hidden="1"/>
    </xf>
    <xf numFmtId="14" fontId="10" fillId="5" borderId="8" xfId="0" applyNumberFormat="1" applyFont="1" applyFill="1" applyBorder="1" applyAlignment="1" applyProtection="1">
      <alignment horizontal="center"/>
      <protection hidden="1"/>
    </xf>
    <xf numFmtId="14" fontId="10" fillId="3" borderId="6" xfId="0" applyNumberFormat="1" applyFont="1" applyFill="1" applyBorder="1" applyAlignment="1" applyProtection="1">
      <alignment horizontal="center"/>
      <protection hidden="1"/>
    </xf>
    <xf numFmtId="14" fontId="10" fillId="5" borderId="6" xfId="0" applyNumberFormat="1" applyFont="1" applyFill="1" applyBorder="1" applyAlignment="1" applyProtection="1">
      <alignment horizontal="center"/>
      <protection hidden="1"/>
    </xf>
    <xf numFmtId="0" fontId="10" fillId="5" borderId="0" xfId="0" applyNumberFormat="1" applyFont="1" applyFill="1" applyBorder="1" applyAlignment="1" applyProtection="1">
      <alignment horizontal="center"/>
      <protection hidden="1"/>
    </xf>
    <xf numFmtId="14" fontId="10" fillId="5" borderId="0" xfId="0" applyNumberFormat="1" applyFont="1" applyFill="1" applyBorder="1" applyAlignment="1" applyProtection="1">
      <alignment horizontal="center"/>
      <protection hidden="1"/>
    </xf>
    <xf numFmtId="169" fontId="10" fillId="2" borderId="1" xfId="3" applyFont="1" applyFill="1" applyBorder="1" applyProtection="1">
      <protection hidden="1"/>
    </xf>
    <xf numFmtId="170" fontId="10" fillId="2" borderId="0" xfId="0" applyNumberFormat="1" applyFont="1" applyFill="1" applyBorder="1" applyAlignment="1" applyProtection="1">
      <alignment horizontal="right"/>
      <protection hidden="1"/>
    </xf>
    <xf numFmtId="14" fontId="10" fillId="5" borderId="9" xfId="0" applyNumberFormat="1" applyFont="1" applyFill="1" applyBorder="1" applyAlignment="1" applyProtection="1">
      <alignment horizontal="center"/>
      <protection hidden="1"/>
    </xf>
    <xf numFmtId="14" fontId="10" fillId="3" borderId="9" xfId="0" applyNumberFormat="1" applyFont="1" applyFill="1" applyBorder="1" applyAlignment="1" applyProtection="1">
      <alignment horizontal="center"/>
      <protection hidden="1"/>
    </xf>
    <xf numFmtId="164" fontId="10" fillId="5" borderId="9" xfId="3" applyNumberFormat="1" applyFont="1" applyFill="1" applyBorder="1" applyAlignment="1" applyProtection="1">
      <alignment horizontal="center"/>
      <protection hidden="1"/>
    </xf>
    <xf numFmtId="164" fontId="10" fillId="5" borderId="0" xfId="3" applyNumberFormat="1" applyFont="1" applyFill="1" applyBorder="1" applyAlignment="1" applyProtection="1">
      <alignment horizontal="center"/>
      <protection hidden="1"/>
    </xf>
    <xf numFmtId="14" fontId="10" fillId="5" borderId="10" xfId="0" applyNumberFormat="1" applyFont="1" applyFill="1" applyBorder="1" applyAlignment="1" applyProtection="1">
      <alignment horizontal="center"/>
      <protection hidden="1"/>
    </xf>
    <xf numFmtId="14" fontId="10" fillId="3" borderId="10" xfId="0" applyNumberFormat="1" applyFont="1" applyFill="1" applyBorder="1" applyAlignment="1" applyProtection="1">
      <alignment horizontal="center"/>
      <protection hidden="1"/>
    </xf>
    <xf numFmtId="164" fontId="10" fillId="5" borderId="10" xfId="3" applyNumberFormat="1" applyFont="1" applyFill="1" applyBorder="1" applyAlignment="1" applyProtection="1">
      <alignment horizontal="center"/>
      <protection hidden="1"/>
    </xf>
    <xf numFmtId="169" fontId="10" fillId="3" borderId="0" xfId="3" applyFont="1" applyFill="1" applyProtection="1">
      <protection hidden="1"/>
    </xf>
    <xf numFmtId="170" fontId="12" fillId="3" borderId="7" xfId="3" applyNumberFormat="1" applyFont="1" applyFill="1" applyBorder="1" applyProtection="1">
      <protection hidden="1"/>
    </xf>
    <xf numFmtId="2" fontId="10" fillId="3" borderId="0" xfId="0" applyNumberFormat="1" applyFont="1" applyFill="1" applyAlignment="1" applyProtection="1">
      <alignment horizontal="center"/>
      <protection hidden="1"/>
    </xf>
    <xf numFmtId="10" fontId="10" fillId="0" borderId="0" xfId="0" applyNumberFormat="1" applyFont="1" applyFill="1" applyBorder="1" applyAlignment="1" applyProtection="1">
      <alignment horizontal="center"/>
      <protection hidden="1"/>
    </xf>
    <xf numFmtId="164" fontId="10" fillId="6" borderId="0" xfId="3" applyNumberFormat="1" applyFont="1" applyFill="1" applyBorder="1" applyAlignment="1" applyProtection="1">
      <alignment horizontal="center"/>
      <protection hidden="1"/>
    </xf>
    <xf numFmtId="164" fontId="11" fillId="3" borderId="0" xfId="0" applyNumberFormat="1" applyFont="1" applyFill="1" applyProtection="1">
      <protection hidden="1"/>
    </xf>
    <xf numFmtId="164" fontId="11" fillId="3" borderId="0" xfId="0" applyNumberFormat="1" applyFont="1" applyFill="1" applyBorder="1" applyProtection="1">
      <protection hidden="1"/>
    </xf>
    <xf numFmtId="10" fontId="10" fillId="2" borderId="0" xfId="5" applyNumberFormat="1" applyFont="1" applyFill="1" applyProtection="1">
      <protection hidden="1"/>
    </xf>
    <xf numFmtId="0" fontId="10" fillId="2" borderId="0" xfId="0" applyNumberFormat="1" applyFont="1" applyFill="1" applyProtection="1">
      <protection hidden="1"/>
    </xf>
    <xf numFmtId="169" fontId="10" fillId="4" borderId="1" xfId="3" applyFont="1" applyFill="1" applyBorder="1" applyProtection="1">
      <protection hidden="1"/>
    </xf>
    <xf numFmtId="14" fontId="15" fillId="4" borderId="0" xfId="0" applyNumberFormat="1" applyFont="1" applyFill="1" applyBorder="1" applyProtection="1">
      <protection hidden="1"/>
    </xf>
    <xf numFmtId="10" fontId="13" fillId="4" borderId="0" xfId="5" applyNumberFormat="1" applyFont="1" applyFill="1" applyBorder="1" applyAlignment="1" applyProtection="1">
      <alignment horizontal="center"/>
      <protection hidden="1"/>
    </xf>
    <xf numFmtId="170" fontId="10" fillId="4" borderId="0" xfId="0" applyNumberFormat="1" applyFont="1" applyFill="1" applyBorder="1" applyAlignment="1" applyProtection="1">
      <alignment horizontal="right"/>
      <protection hidden="1"/>
    </xf>
    <xf numFmtId="0" fontId="10" fillId="2" borderId="20" xfId="0" applyFont="1" applyFill="1" applyBorder="1" applyProtection="1">
      <protection hidden="1"/>
    </xf>
    <xf numFmtId="0" fontId="13" fillId="7" borderId="0" xfId="0" applyFont="1" applyFill="1" applyBorder="1" applyAlignment="1" applyProtection="1">
      <alignment horizontal="center" vertical="center" wrapText="1"/>
      <protection hidden="1"/>
    </xf>
    <xf numFmtId="169" fontId="10" fillId="2" borderId="0" xfId="0" applyNumberFormat="1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164" fontId="15" fillId="6" borderId="21" xfId="0" applyNumberFormat="1" applyFont="1" applyFill="1" applyBorder="1" applyAlignment="1" applyProtection="1">
      <alignment horizontal="center"/>
      <protection hidden="1"/>
    </xf>
    <xf numFmtId="164" fontId="13" fillId="6" borderId="21" xfId="3" applyNumberFormat="1" applyFont="1" applyFill="1" applyBorder="1" applyAlignment="1" applyProtection="1">
      <alignment horizontal="center"/>
      <protection hidden="1"/>
    </xf>
    <xf numFmtId="0" fontId="13" fillId="7" borderId="21" xfId="0" applyFont="1" applyFill="1" applyBorder="1" applyAlignment="1" applyProtection="1">
      <alignment horizontal="center" vertical="center" wrapText="1"/>
      <protection hidden="1"/>
    </xf>
    <xf numFmtId="0" fontId="13" fillId="7" borderId="22" xfId="0" applyFont="1" applyFill="1" applyBorder="1" applyAlignment="1" applyProtection="1">
      <alignment horizontal="center" vertical="center" wrapText="1"/>
      <protection hidden="1"/>
    </xf>
    <xf numFmtId="0" fontId="13" fillId="7" borderId="23" xfId="0" applyFont="1" applyFill="1" applyBorder="1" applyAlignment="1" applyProtection="1">
      <alignment horizontal="center" vertical="center" wrapText="1"/>
      <protection hidden="1"/>
    </xf>
    <xf numFmtId="14" fontId="15" fillId="7" borderId="24" xfId="0" applyNumberFormat="1" applyFont="1" applyFill="1" applyBorder="1" applyProtection="1">
      <protection hidden="1"/>
    </xf>
    <xf numFmtId="10" fontId="15" fillId="8" borderId="24" xfId="0" applyNumberFormat="1" applyFont="1" applyFill="1" applyBorder="1" applyAlignment="1" applyProtection="1">
      <alignment horizontal="center"/>
      <protection hidden="1"/>
    </xf>
    <xf numFmtId="10" fontId="13" fillId="7" borderId="24" xfId="5" applyNumberFormat="1" applyFont="1" applyFill="1" applyBorder="1" applyAlignment="1" applyProtection="1">
      <alignment horizontal="center"/>
      <protection hidden="1"/>
    </xf>
    <xf numFmtId="164" fontId="13" fillId="8" borderId="25" xfId="3" applyNumberFormat="1" applyFont="1" applyFill="1" applyBorder="1" applyAlignment="1" applyProtection="1">
      <alignment horizontal="center"/>
      <protection hidden="1"/>
    </xf>
    <xf numFmtId="164" fontId="13" fillId="8" borderId="24" xfId="3" applyNumberFormat="1" applyFont="1" applyFill="1" applyBorder="1" applyAlignment="1" applyProtection="1">
      <alignment horizontal="center"/>
      <protection hidden="1"/>
    </xf>
    <xf numFmtId="164" fontId="15" fillId="8" borderId="25" xfId="0" applyNumberFormat="1" applyFont="1" applyFill="1" applyBorder="1" applyAlignment="1" applyProtection="1">
      <alignment horizontal="center"/>
      <protection hidden="1"/>
    </xf>
    <xf numFmtId="14" fontId="16" fillId="0" borderId="0" xfId="0" applyNumberFormat="1" applyFont="1" applyFill="1" applyBorder="1" applyAlignment="1" applyProtection="1">
      <alignment horizontal="center"/>
      <protection hidden="1"/>
    </xf>
    <xf numFmtId="10" fontId="10" fillId="0" borderId="0" xfId="0" applyNumberFormat="1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164" fontId="10" fillId="0" borderId="0" xfId="0" applyNumberFormat="1" applyFont="1" applyFill="1" applyBorder="1" applyAlignment="1" applyProtection="1">
      <alignment horizontal="center"/>
      <protection hidden="1"/>
    </xf>
    <xf numFmtId="164" fontId="10" fillId="0" borderId="0" xfId="3" applyNumberFormat="1" applyFont="1" applyFill="1" applyBorder="1" applyAlignment="1" applyProtection="1">
      <alignment horizontal="center"/>
      <protection hidden="1"/>
    </xf>
    <xf numFmtId="172" fontId="10" fillId="0" borderId="0" xfId="0" applyNumberFormat="1" applyFont="1" applyFill="1" applyBorder="1" applyAlignment="1" applyProtection="1">
      <alignment horizontal="center"/>
      <protection hidden="1"/>
    </xf>
    <xf numFmtId="170" fontId="10" fillId="0" borderId="0" xfId="3" applyNumberFormat="1" applyFont="1" applyFill="1" applyBorder="1" applyAlignment="1" applyProtection="1">
      <alignment horizontal="center"/>
      <protection hidden="1"/>
    </xf>
    <xf numFmtId="165" fontId="12" fillId="9" borderId="0" xfId="3" applyNumberFormat="1" applyFont="1" applyFill="1" applyBorder="1" applyAlignment="1" applyProtection="1">
      <alignment horizontal="center"/>
      <protection locked="0"/>
    </xf>
    <xf numFmtId="10" fontId="12" fillId="9" borderId="0" xfId="5" applyNumberFormat="1" applyFont="1" applyFill="1" applyBorder="1" applyProtection="1">
      <protection locked="0"/>
    </xf>
    <xf numFmtId="0" fontId="12" fillId="6" borderId="0" xfId="0" applyFont="1" applyFill="1" applyBorder="1" applyProtection="1">
      <protection hidden="1"/>
    </xf>
    <xf numFmtId="168" fontId="12" fillId="6" borderId="0" xfId="5" applyNumberFormat="1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Border="1" applyProtection="1">
      <protection hidden="1"/>
    </xf>
    <xf numFmtId="0" fontId="2" fillId="3" borderId="0" xfId="0" applyFont="1" applyFill="1" applyProtection="1">
      <protection hidden="1"/>
    </xf>
    <xf numFmtId="0" fontId="2" fillId="2" borderId="1" xfId="0" applyFont="1" applyFill="1" applyBorder="1" applyProtection="1">
      <protection hidden="1"/>
    </xf>
    <xf numFmtId="16" fontId="4" fillId="3" borderId="0" xfId="0" applyNumberFormat="1" applyFont="1" applyFill="1" applyProtection="1">
      <protection hidden="1"/>
    </xf>
    <xf numFmtId="170" fontId="4" fillId="3" borderId="0" xfId="3" applyNumberFormat="1" applyFont="1" applyFill="1" applyProtection="1">
      <protection hidden="1"/>
    </xf>
    <xf numFmtId="10" fontId="3" fillId="2" borderId="0" xfId="5" applyNumberFormat="1" applyFont="1" applyFill="1" applyBorder="1" applyProtection="1">
      <protection hidden="1"/>
    </xf>
    <xf numFmtId="169" fontId="4" fillId="3" borderId="0" xfId="3" applyFont="1" applyFill="1" applyProtection="1">
      <protection hidden="1"/>
    </xf>
    <xf numFmtId="0" fontId="2" fillId="2" borderId="2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169" fontId="2" fillId="2" borderId="0" xfId="0" applyNumberFormat="1" applyFont="1" applyFill="1" applyBorder="1" applyAlignment="1" applyProtection="1">
      <alignment horizontal="center"/>
      <protection hidden="1"/>
    </xf>
    <xf numFmtId="169" fontId="2" fillId="2" borderId="1" xfId="3" applyFont="1" applyFill="1" applyBorder="1" applyProtection="1">
      <protection hidden="1"/>
    </xf>
    <xf numFmtId="173" fontId="4" fillId="3" borderId="0" xfId="0" applyNumberFormat="1" applyFont="1" applyFill="1" applyProtection="1">
      <protection hidden="1"/>
    </xf>
    <xf numFmtId="14" fontId="1" fillId="2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center"/>
      <protection hidden="1"/>
    </xf>
    <xf numFmtId="10" fontId="3" fillId="2" borderId="0" xfId="5" applyNumberFormat="1" applyFont="1" applyFill="1" applyBorder="1" applyAlignment="1" applyProtection="1">
      <alignment horizontal="center"/>
      <protection hidden="1"/>
    </xf>
    <xf numFmtId="170" fontId="3" fillId="0" borderId="0" xfId="3" applyNumberFormat="1" applyFont="1" applyFill="1" applyBorder="1" applyAlignment="1" applyProtection="1">
      <alignment horizontal="center"/>
      <protection hidden="1"/>
    </xf>
    <xf numFmtId="170" fontId="1" fillId="0" borderId="0" xfId="0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Border="1" applyProtection="1">
      <protection hidden="1"/>
    </xf>
    <xf numFmtId="0" fontId="10" fillId="6" borderId="0" xfId="0" applyFont="1" applyFill="1" applyBorder="1" applyProtection="1">
      <protection hidden="1"/>
    </xf>
    <xf numFmtId="164" fontId="10" fillId="6" borderId="0" xfId="0" applyNumberFormat="1" applyFont="1" applyFill="1" applyBorder="1" applyAlignment="1" applyProtection="1">
      <alignment horizontal="center"/>
      <protection hidden="1"/>
    </xf>
    <xf numFmtId="10" fontId="10" fillId="4" borderId="0" xfId="0" applyNumberFormat="1" applyFont="1" applyFill="1" applyBorder="1" applyAlignment="1" applyProtection="1">
      <alignment horizontal="center"/>
      <protection hidden="1"/>
    </xf>
    <xf numFmtId="10" fontId="10" fillId="6" borderId="0" xfId="5" applyNumberFormat="1" applyFont="1" applyFill="1" applyBorder="1" applyAlignment="1" applyProtection="1">
      <alignment horizontal="center"/>
      <protection hidden="1"/>
    </xf>
    <xf numFmtId="170" fontId="3" fillId="2" borderId="0" xfId="3" applyNumberFormat="1" applyFont="1" applyFill="1" applyProtection="1">
      <protection hidden="1"/>
    </xf>
    <xf numFmtId="10" fontId="2" fillId="2" borderId="0" xfId="5" applyNumberFormat="1" applyFont="1" applyFill="1" applyProtection="1">
      <protection hidden="1"/>
    </xf>
    <xf numFmtId="170" fontId="2" fillId="2" borderId="0" xfId="3" applyNumberFormat="1" applyFont="1" applyFill="1" applyProtection="1">
      <protection hidden="1"/>
    </xf>
    <xf numFmtId="168" fontId="2" fillId="2" borderId="0" xfId="0" applyNumberFormat="1" applyFont="1" applyFill="1" applyProtection="1">
      <protection hidden="1"/>
    </xf>
    <xf numFmtId="169" fontId="2" fillId="2" borderId="0" xfId="3" applyFont="1" applyFill="1" applyProtection="1">
      <protection hidden="1"/>
    </xf>
    <xf numFmtId="164" fontId="11" fillId="5" borderId="0" xfId="3" applyNumberFormat="1" applyFont="1" applyFill="1" applyBorder="1" applyAlignment="1" applyProtection="1">
      <alignment horizontal="center"/>
      <protection hidden="1"/>
    </xf>
    <xf numFmtId="169" fontId="11" fillId="3" borderId="0" xfId="3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12" fillId="4" borderId="7" xfId="0" applyFont="1" applyFill="1" applyBorder="1" applyProtection="1">
      <protection hidden="1"/>
    </xf>
    <xf numFmtId="172" fontId="12" fillId="4" borderId="7" xfId="5" applyNumberFormat="1" applyFont="1" applyFill="1" applyBorder="1" applyProtection="1">
      <protection hidden="1"/>
    </xf>
    <xf numFmtId="0" fontId="12" fillId="4" borderId="0" xfId="0" applyFont="1" applyFill="1" applyBorder="1" applyAlignment="1" applyProtection="1">
      <alignment wrapText="1"/>
      <protection hidden="1"/>
    </xf>
    <xf numFmtId="0" fontId="14" fillId="2" borderId="0" xfId="0" applyFont="1" applyFill="1" applyProtection="1">
      <protection hidden="1"/>
    </xf>
    <xf numFmtId="14" fontId="14" fillId="4" borderId="0" xfId="0" applyNumberFormat="1" applyFont="1" applyFill="1" applyBorder="1" applyProtection="1">
      <protection hidden="1"/>
    </xf>
    <xf numFmtId="0" fontId="17" fillId="3" borderId="0" xfId="0" applyFont="1" applyFill="1" applyBorder="1" applyAlignment="1" applyProtection="1">
      <protection hidden="1"/>
    </xf>
    <xf numFmtId="0" fontId="13" fillId="4" borderId="0" xfId="0" applyFont="1" applyFill="1" applyBorder="1" applyAlignment="1" applyProtection="1">
      <alignment vertical="center"/>
      <protection hidden="1"/>
    </xf>
    <xf numFmtId="10" fontId="13" fillId="7" borderId="26" xfId="5" applyNumberFormat="1" applyFont="1" applyFill="1" applyBorder="1" applyAlignment="1" applyProtection="1">
      <alignment horizontal="center"/>
      <protection hidden="1"/>
    </xf>
    <xf numFmtId="164" fontId="13" fillId="6" borderId="0" xfId="3" applyNumberFormat="1" applyFont="1" applyFill="1" applyBorder="1" applyAlignment="1" applyProtection="1">
      <alignment horizontal="center"/>
      <protection hidden="1"/>
    </xf>
    <xf numFmtId="164" fontId="15" fillId="6" borderId="0" xfId="0" applyNumberFormat="1" applyFont="1" applyFill="1" applyBorder="1" applyAlignment="1" applyProtection="1">
      <alignment horizontal="center"/>
      <protection hidden="1"/>
    </xf>
    <xf numFmtId="172" fontId="10" fillId="6" borderId="0" xfId="0" applyNumberFormat="1" applyFont="1" applyFill="1" applyBorder="1" applyAlignment="1" applyProtection="1">
      <alignment horizontal="center"/>
      <protection hidden="1"/>
    </xf>
    <xf numFmtId="170" fontId="10" fillId="2" borderId="21" xfId="3" applyNumberFormat="1" applyFont="1" applyFill="1" applyBorder="1" applyProtection="1"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Border="1" applyProtection="1"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4" fillId="4" borderId="0" xfId="0" applyFont="1" applyFill="1" applyProtection="1">
      <protection hidden="1"/>
    </xf>
    <xf numFmtId="10" fontId="10" fillId="6" borderId="21" xfId="0" applyNumberFormat="1" applyFont="1" applyFill="1" applyBorder="1" applyProtection="1">
      <protection hidden="1"/>
    </xf>
    <xf numFmtId="0" fontId="2" fillId="2" borderId="27" xfId="0" applyFont="1" applyFill="1" applyBorder="1" applyProtection="1">
      <protection hidden="1"/>
    </xf>
    <xf numFmtId="0" fontId="13" fillId="7" borderId="28" xfId="0" applyFont="1" applyFill="1" applyBorder="1" applyAlignment="1" applyProtection="1">
      <alignment horizontal="center" vertical="center" wrapText="1"/>
      <protection hidden="1"/>
    </xf>
    <xf numFmtId="0" fontId="13" fillId="7" borderId="26" xfId="0" applyFont="1" applyFill="1" applyBorder="1" applyAlignment="1" applyProtection="1">
      <alignment horizontal="center" vertical="center" wrapText="1"/>
      <protection hidden="1"/>
    </xf>
    <xf numFmtId="164" fontId="10" fillId="6" borderId="21" xfId="0" applyNumberFormat="1" applyFont="1" applyFill="1" applyBorder="1" applyAlignment="1" applyProtection="1">
      <alignment horizontal="center"/>
      <protection hidden="1"/>
    </xf>
    <xf numFmtId="164" fontId="10" fillId="6" borderId="21" xfId="3" applyNumberFormat="1" applyFont="1" applyFill="1" applyBorder="1" applyAlignment="1" applyProtection="1">
      <alignment horizontal="center"/>
      <protection hidden="1"/>
    </xf>
    <xf numFmtId="0" fontId="18" fillId="2" borderId="0" xfId="0" applyFont="1" applyFill="1" applyBorder="1" applyAlignment="1" applyProtection="1">
      <protection hidden="1"/>
    </xf>
    <xf numFmtId="0" fontId="19" fillId="4" borderId="0" xfId="0" applyFont="1" applyFill="1" applyBorder="1" applyAlignment="1" applyProtection="1">
      <alignment vertic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12" fillId="6" borderId="11" xfId="0" applyFont="1" applyFill="1" applyBorder="1" applyProtection="1">
      <protection hidden="1"/>
    </xf>
    <xf numFmtId="0" fontId="12" fillId="4" borderId="12" xfId="0" applyFont="1" applyFill="1" applyBorder="1" applyProtection="1">
      <protection hidden="1"/>
    </xf>
    <xf numFmtId="0" fontId="10" fillId="4" borderId="13" xfId="0" applyFont="1" applyFill="1" applyBorder="1" applyProtection="1">
      <protection hidden="1"/>
    </xf>
    <xf numFmtId="169" fontId="10" fillId="2" borderId="0" xfId="3" applyFont="1" applyFill="1" applyProtection="1">
      <protection hidden="1"/>
    </xf>
    <xf numFmtId="169" fontId="12" fillId="2" borderId="0" xfId="3" applyFont="1" applyFill="1" applyBorder="1" applyProtection="1">
      <protection hidden="1"/>
    </xf>
    <xf numFmtId="0" fontId="10" fillId="3" borderId="8" xfId="0" applyFont="1" applyFill="1" applyBorder="1" applyAlignment="1" applyProtection="1">
      <alignment horizontal="center"/>
      <protection hidden="1"/>
    </xf>
    <xf numFmtId="14" fontId="10" fillId="3" borderId="11" xfId="0" applyNumberFormat="1" applyFont="1" applyFill="1" applyBorder="1" applyProtection="1">
      <protection hidden="1"/>
    </xf>
    <xf numFmtId="0" fontId="10" fillId="3" borderId="13" xfId="0" applyNumberFormat="1" applyFont="1" applyFill="1" applyBorder="1" applyAlignment="1" applyProtection="1">
      <alignment horizontal="center"/>
      <protection hidden="1"/>
    </xf>
    <xf numFmtId="169" fontId="10" fillId="3" borderId="0" xfId="3" applyFont="1" applyFill="1" applyBorder="1" applyProtection="1">
      <protection hidden="1"/>
    </xf>
    <xf numFmtId="164" fontId="10" fillId="3" borderId="0" xfId="0" applyNumberFormat="1" applyFont="1" applyFill="1" applyProtection="1">
      <protection hidden="1"/>
    </xf>
    <xf numFmtId="9" fontId="10" fillId="5" borderId="0" xfId="5" applyFont="1" applyFill="1" applyBorder="1" applyAlignment="1" applyProtection="1">
      <alignment horizontal="center"/>
      <protection hidden="1"/>
    </xf>
    <xf numFmtId="166" fontId="10" fillId="5" borderId="0" xfId="3" applyNumberFormat="1" applyFont="1" applyFill="1" applyBorder="1" applyAlignment="1" applyProtection="1">
      <alignment horizontal="center"/>
      <protection hidden="1"/>
    </xf>
    <xf numFmtId="166" fontId="10" fillId="3" borderId="0" xfId="0" applyNumberFormat="1" applyFont="1" applyFill="1" applyProtection="1">
      <protection hidden="1"/>
    </xf>
    <xf numFmtId="174" fontId="10" fillId="3" borderId="0" xfId="0" applyNumberFormat="1" applyFont="1" applyFill="1" applyProtection="1">
      <protection hidden="1"/>
    </xf>
    <xf numFmtId="174" fontId="4" fillId="3" borderId="0" xfId="0" applyNumberFormat="1" applyFont="1" applyFill="1" applyProtection="1">
      <protection hidden="1"/>
    </xf>
    <xf numFmtId="2" fontId="4" fillId="3" borderId="0" xfId="0" applyNumberFormat="1" applyFont="1" applyFill="1" applyProtection="1">
      <protection hidden="1"/>
    </xf>
    <xf numFmtId="169" fontId="10" fillId="5" borderId="0" xfId="3" applyFont="1" applyFill="1" applyBorder="1" applyAlignment="1" applyProtection="1">
      <alignment horizontal="center"/>
      <protection hidden="1"/>
    </xf>
    <xf numFmtId="172" fontId="12" fillId="0" borderId="0" xfId="5" applyNumberFormat="1" applyFont="1" applyFill="1" applyBorder="1" applyAlignment="1" applyProtection="1">
      <alignment horizontal="center"/>
      <protection hidden="1"/>
    </xf>
    <xf numFmtId="172" fontId="10" fillId="10" borderId="0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Fill="1" applyBorder="1" applyAlignment="1" applyProtection="1">
      <alignment horizontal="right"/>
      <protection hidden="1"/>
    </xf>
    <xf numFmtId="175" fontId="4" fillId="3" borderId="0" xfId="5" applyNumberFormat="1" applyFont="1" applyFill="1" applyProtection="1">
      <protection hidden="1"/>
    </xf>
    <xf numFmtId="14" fontId="10" fillId="3" borderId="0" xfId="0" applyNumberFormat="1" applyFont="1" applyFill="1" applyProtection="1">
      <protection hidden="1"/>
    </xf>
    <xf numFmtId="164" fontId="12" fillId="3" borderId="0" xfId="0" applyNumberFormat="1" applyFont="1" applyFill="1" applyAlignment="1" applyProtection="1">
      <alignment horizontal="center"/>
      <protection hidden="1"/>
    </xf>
    <xf numFmtId="2" fontId="12" fillId="3" borderId="7" xfId="0" applyNumberFormat="1" applyFont="1" applyFill="1" applyBorder="1" applyAlignment="1" applyProtection="1">
      <alignment horizontal="center"/>
      <protection hidden="1"/>
    </xf>
    <xf numFmtId="164" fontId="10" fillId="3" borderId="0" xfId="0" applyNumberFormat="1" applyFont="1" applyFill="1" applyBorder="1" applyProtection="1">
      <protection hidden="1"/>
    </xf>
    <xf numFmtId="170" fontId="13" fillId="7" borderId="24" xfId="3" applyNumberFormat="1" applyFont="1" applyFill="1" applyBorder="1" applyAlignment="1" applyProtection="1">
      <alignment horizontal="center"/>
      <protection hidden="1"/>
    </xf>
    <xf numFmtId="164" fontId="10" fillId="3" borderId="11" xfId="0" applyNumberFormat="1" applyFont="1" applyFill="1" applyBorder="1" applyProtection="1">
      <protection hidden="1"/>
    </xf>
    <xf numFmtId="170" fontId="10" fillId="3" borderId="0" xfId="3" applyNumberFormat="1" applyFont="1" applyFill="1" applyBorder="1" applyProtection="1">
      <protection hidden="1"/>
    </xf>
    <xf numFmtId="0" fontId="10" fillId="3" borderId="0" xfId="0" applyNumberFormat="1" applyFont="1" applyFill="1" applyBorder="1" applyAlignment="1" applyProtection="1">
      <alignment horizontal="center"/>
      <protection hidden="1"/>
    </xf>
    <xf numFmtId="14" fontId="10" fillId="3" borderId="0" xfId="0" applyNumberFormat="1" applyFont="1" applyFill="1" applyBorder="1" applyAlignment="1" applyProtection="1">
      <alignment horizontal="center"/>
      <protection hidden="1"/>
    </xf>
    <xf numFmtId="170" fontId="10" fillId="3" borderId="14" xfId="3" applyNumberFormat="1" applyFont="1" applyFill="1" applyBorder="1" applyProtection="1">
      <protection hidden="1"/>
    </xf>
    <xf numFmtId="164" fontId="10" fillId="3" borderId="15" xfId="0" applyNumberFormat="1" applyFont="1" applyFill="1" applyBorder="1" applyProtection="1">
      <protection hidden="1"/>
    </xf>
    <xf numFmtId="164" fontId="10" fillId="3" borderId="13" xfId="0" applyNumberFormat="1" applyFont="1" applyFill="1" applyBorder="1" applyProtection="1">
      <protection hidden="1"/>
    </xf>
    <xf numFmtId="164" fontId="10" fillId="3" borderId="6" xfId="0" applyNumberFormat="1" applyFont="1" applyFill="1" applyBorder="1" applyProtection="1">
      <protection hidden="1"/>
    </xf>
    <xf numFmtId="0" fontId="11" fillId="3" borderId="11" xfId="0" applyFont="1" applyFill="1" applyBorder="1" applyProtection="1">
      <protection hidden="1"/>
    </xf>
    <xf numFmtId="170" fontId="10" fillId="3" borderId="10" xfId="3" applyNumberFormat="1" applyFont="1" applyFill="1" applyBorder="1" applyProtection="1">
      <protection hidden="1"/>
    </xf>
    <xf numFmtId="0" fontId="2" fillId="2" borderId="0" xfId="0" applyNumberFormat="1" applyFont="1" applyFill="1" applyProtection="1">
      <protection hidden="1"/>
    </xf>
    <xf numFmtId="0" fontId="20" fillId="6" borderId="21" xfId="1" applyFont="1" applyFill="1" applyBorder="1" applyAlignment="1" applyProtection="1">
      <alignment vertical="center" wrapText="1"/>
      <protection hidden="1"/>
    </xf>
    <xf numFmtId="0" fontId="20" fillId="6" borderId="0" xfId="1" applyFont="1" applyFill="1" applyBorder="1" applyAlignment="1" applyProtection="1">
      <alignment vertical="center" wrapText="1"/>
      <protection hidden="1"/>
    </xf>
    <xf numFmtId="165" fontId="10" fillId="4" borderId="0" xfId="0" applyNumberFormat="1" applyFont="1" applyFill="1" applyProtection="1">
      <protection hidden="1"/>
    </xf>
    <xf numFmtId="170" fontId="10" fillId="4" borderId="0" xfId="3" applyNumberFormat="1" applyFont="1" applyFill="1" applyProtection="1">
      <protection hidden="1"/>
    </xf>
    <xf numFmtId="10" fontId="10" fillId="4" borderId="0" xfId="5" applyNumberFormat="1" applyFont="1" applyFill="1" applyProtection="1">
      <protection hidden="1"/>
    </xf>
    <xf numFmtId="170" fontId="10" fillId="2" borderId="0" xfId="3" applyNumberFormat="1" applyFont="1" applyFill="1" applyProtection="1">
      <protection hidden="1"/>
    </xf>
    <xf numFmtId="170" fontId="14" fillId="5" borderId="0" xfId="3" applyNumberFormat="1" applyFont="1" applyFill="1" applyBorder="1" applyAlignment="1" applyProtection="1">
      <alignment horizontal="center"/>
      <protection hidden="1"/>
    </xf>
    <xf numFmtId="0" fontId="18" fillId="2" borderId="1" xfId="0" applyFont="1" applyFill="1" applyBorder="1" applyAlignment="1" applyProtection="1">
      <alignment horizontal="center"/>
      <protection hidden="1"/>
    </xf>
    <xf numFmtId="0" fontId="21" fillId="3" borderId="0" xfId="0" applyFont="1" applyFill="1" applyAlignment="1" applyProtection="1">
      <alignment horizontal="center"/>
      <protection hidden="1"/>
    </xf>
    <xf numFmtId="170" fontId="11" fillId="3" borderId="0" xfId="3" applyNumberFormat="1" applyFont="1" applyFill="1" applyBorder="1" applyProtection="1">
      <protection hidden="1"/>
    </xf>
    <xf numFmtId="170" fontId="11" fillId="3" borderId="0" xfId="3" applyNumberFormat="1" applyFont="1" applyFill="1" applyProtection="1">
      <protection hidden="1"/>
    </xf>
    <xf numFmtId="169" fontId="11" fillId="3" borderId="0" xfId="3" applyNumberFormat="1" applyFont="1" applyFill="1" applyBorder="1" applyProtection="1">
      <protection hidden="1"/>
    </xf>
    <xf numFmtId="177" fontId="11" fillId="3" borderId="0" xfId="3" applyNumberFormat="1" applyFont="1" applyFill="1" applyProtection="1">
      <protection hidden="1"/>
    </xf>
    <xf numFmtId="170" fontId="10" fillId="3" borderId="9" xfId="3" applyNumberFormat="1" applyFont="1" applyFill="1" applyBorder="1" applyProtection="1">
      <protection hidden="1"/>
    </xf>
    <xf numFmtId="170" fontId="22" fillId="3" borderId="0" xfId="3" applyNumberFormat="1" applyFont="1" applyFill="1" applyProtection="1">
      <protection hidden="1"/>
    </xf>
    <xf numFmtId="178" fontId="10" fillId="2" borderId="0" xfId="5" applyNumberFormat="1" applyFont="1" applyFill="1" applyProtection="1"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12" fillId="4" borderId="0" xfId="0" applyFont="1" applyFill="1" applyProtection="1">
      <protection hidden="1"/>
    </xf>
    <xf numFmtId="0" fontId="17" fillId="3" borderId="0" xfId="0" applyFont="1" applyFill="1" applyAlignment="1" applyProtection="1">
      <alignment horizontal="center"/>
      <protection hidden="1"/>
    </xf>
    <xf numFmtId="0" fontId="12" fillId="4" borderId="0" xfId="0" applyFont="1" applyFill="1" applyAlignment="1" applyProtection="1">
      <alignment wrapText="1"/>
      <protection hidden="1"/>
    </xf>
    <xf numFmtId="0" fontId="10" fillId="3" borderId="0" xfId="0" applyFont="1" applyFill="1" applyAlignment="1" applyProtection="1">
      <alignment horizontal="center"/>
      <protection hidden="1"/>
    </xf>
    <xf numFmtId="10" fontId="12" fillId="4" borderId="0" xfId="0" applyNumberFormat="1" applyFont="1" applyFill="1" applyAlignment="1" applyProtection="1">
      <alignment horizontal="center"/>
      <protection hidden="1"/>
    </xf>
    <xf numFmtId="0" fontId="12" fillId="6" borderId="0" xfId="0" applyFont="1" applyFill="1" applyProtection="1">
      <protection hidden="1"/>
    </xf>
    <xf numFmtId="10" fontId="10" fillId="2" borderId="0" xfId="0" applyNumberFormat="1" applyFont="1" applyFill="1" applyProtection="1">
      <protection hidden="1"/>
    </xf>
    <xf numFmtId="0" fontId="17" fillId="3" borderId="0" xfId="0" applyFont="1" applyFill="1" applyProtection="1">
      <protection hidden="1"/>
    </xf>
    <xf numFmtId="0" fontId="13" fillId="5" borderId="0" xfId="0" applyFont="1" applyFill="1" applyProtection="1">
      <protection hidden="1"/>
    </xf>
    <xf numFmtId="10" fontId="14" fillId="2" borderId="0" xfId="0" applyNumberFormat="1" applyFont="1" applyFill="1" applyProtection="1"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3" fillId="7" borderId="0" xfId="0" applyFont="1" applyFill="1" applyAlignment="1" applyProtection="1">
      <alignment horizontal="center" vertical="center" wrapText="1"/>
      <protection hidden="1"/>
    </xf>
    <xf numFmtId="169" fontId="10" fillId="2" borderId="0" xfId="0" applyNumberFormat="1" applyFont="1" applyFill="1" applyAlignment="1" applyProtection="1">
      <alignment horizontal="center"/>
      <protection hidden="1"/>
    </xf>
    <xf numFmtId="14" fontId="10" fillId="5" borderId="0" xfId="0" applyNumberFormat="1" applyFont="1" applyFill="1" applyAlignment="1" applyProtection="1">
      <alignment horizontal="center"/>
      <protection hidden="1"/>
    </xf>
    <xf numFmtId="14" fontId="16" fillId="0" borderId="0" xfId="0" applyNumberFormat="1" applyFont="1" applyAlignment="1" applyProtection="1">
      <alignment horizontal="center"/>
      <protection hidden="1"/>
    </xf>
    <xf numFmtId="170" fontId="10" fillId="2" borderId="0" xfId="0" applyNumberFormat="1" applyFont="1" applyFill="1" applyAlignment="1" applyProtection="1">
      <alignment horizontal="right"/>
      <protection hidden="1"/>
    </xf>
    <xf numFmtId="0" fontId="10" fillId="5" borderId="0" xfId="0" applyFont="1" applyFill="1" applyAlignment="1" applyProtection="1">
      <alignment horizontal="center"/>
      <protection hidden="1"/>
    </xf>
    <xf numFmtId="170" fontId="10" fillId="4" borderId="0" xfId="0" applyNumberFormat="1" applyFont="1" applyFill="1" applyAlignment="1" applyProtection="1">
      <alignment horizontal="right"/>
      <protection hidden="1"/>
    </xf>
    <xf numFmtId="14" fontId="14" fillId="4" borderId="0" xfId="0" applyNumberFormat="1" applyFont="1" applyFill="1" applyProtection="1">
      <protection hidden="1"/>
    </xf>
    <xf numFmtId="14" fontId="15" fillId="4" borderId="0" xfId="0" applyNumberFormat="1" applyFont="1" applyFill="1" applyProtection="1">
      <protection hidden="1"/>
    </xf>
    <xf numFmtId="172" fontId="10" fillId="6" borderId="0" xfId="0" applyNumberFormat="1" applyFont="1" applyFill="1" applyAlignment="1" applyProtection="1">
      <alignment horizontal="center"/>
      <protection hidden="1"/>
    </xf>
    <xf numFmtId="164" fontId="15" fillId="6" borderId="0" xfId="0" applyNumberFormat="1" applyFont="1" applyFill="1" applyAlignment="1" applyProtection="1">
      <alignment horizontal="center"/>
      <protection hidden="1"/>
    </xf>
    <xf numFmtId="0" fontId="20" fillId="6" borderId="0" xfId="1" applyFont="1" applyFill="1" applyAlignment="1" applyProtection="1">
      <alignment horizontal="center" vertical="center" wrapText="1"/>
      <protection hidden="1"/>
    </xf>
    <xf numFmtId="0" fontId="19" fillId="4" borderId="0" xfId="0" applyFont="1" applyFill="1" applyAlignment="1" applyProtection="1">
      <alignment vertical="center"/>
      <protection hidden="1"/>
    </xf>
    <xf numFmtId="0" fontId="13" fillId="4" borderId="0" xfId="0" applyFont="1" applyFill="1" applyAlignment="1" applyProtection="1">
      <alignment vertical="center"/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14" fontId="10" fillId="3" borderId="0" xfId="0" applyNumberFormat="1" applyFont="1" applyFill="1" applyAlignment="1" applyProtection="1">
      <alignment horizontal="center"/>
      <protection hidden="1"/>
    </xf>
    <xf numFmtId="14" fontId="16" fillId="6" borderId="0" xfId="0" applyNumberFormat="1" applyFont="1" applyFill="1" applyAlignment="1" applyProtection="1">
      <alignment horizontal="center"/>
      <protection hidden="1"/>
    </xf>
    <xf numFmtId="10" fontId="10" fillId="6" borderId="0" xfId="0" applyNumberFormat="1" applyFont="1" applyFill="1" applyProtection="1">
      <protection hidden="1"/>
    </xf>
    <xf numFmtId="0" fontId="10" fillId="6" borderId="0" xfId="0" applyFont="1" applyFill="1" applyProtection="1">
      <protection hidden="1"/>
    </xf>
    <xf numFmtId="10" fontId="10" fillId="6" borderId="0" xfId="0" applyNumberFormat="1" applyFont="1" applyFill="1" applyAlignment="1" applyProtection="1">
      <alignment horizontal="center"/>
      <protection hidden="1"/>
    </xf>
    <xf numFmtId="170" fontId="10" fillId="6" borderId="0" xfId="3" applyNumberFormat="1" applyFont="1" applyFill="1" applyBorder="1" applyAlignment="1" applyProtection="1">
      <alignment horizontal="center"/>
      <protection hidden="1"/>
    </xf>
    <xf numFmtId="170" fontId="10" fillId="5" borderId="0" xfId="3" applyNumberFormat="1" applyFont="1" applyFill="1" applyBorder="1" applyAlignment="1" applyProtection="1">
      <alignment horizontal="center"/>
      <protection hidden="1"/>
    </xf>
    <xf numFmtId="14" fontId="16" fillId="6" borderId="0" xfId="0" applyNumberFormat="1" applyFont="1" applyFill="1" applyBorder="1" applyAlignment="1" applyProtection="1">
      <alignment horizontal="center"/>
      <protection hidden="1"/>
    </xf>
    <xf numFmtId="172" fontId="12" fillId="6" borderId="0" xfId="5" applyNumberFormat="1" applyFont="1" applyFill="1" applyBorder="1" applyAlignment="1" applyProtection="1">
      <alignment horizontal="center"/>
      <protection hidden="1"/>
    </xf>
    <xf numFmtId="170" fontId="11" fillId="11" borderId="0" xfId="3" applyNumberFormat="1" applyFont="1" applyFill="1" applyProtection="1">
      <protection hidden="1"/>
    </xf>
    <xf numFmtId="164" fontId="10" fillId="3" borderId="13" xfId="0" applyNumberFormat="1" applyFont="1" applyFill="1" applyBorder="1" applyAlignment="1" applyProtection="1">
      <alignment horizontal="center"/>
      <protection hidden="1"/>
    </xf>
    <xf numFmtId="164" fontId="10" fillId="3" borderId="16" xfId="0" applyNumberFormat="1" applyFont="1" applyFill="1" applyBorder="1" applyAlignment="1" applyProtection="1">
      <alignment horizontal="center"/>
      <protection hidden="1"/>
    </xf>
    <xf numFmtId="164" fontId="10" fillId="3" borderId="0" xfId="0" applyNumberFormat="1" applyFont="1" applyFill="1" applyBorder="1" applyAlignment="1" applyProtection="1">
      <alignment horizontal="center"/>
      <protection hidden="1"/>
    </xf>
    <xf numFmtId="10" fontId="1" fillId="0" borderId="0" xfId="5" applyNumberFormat="1" applyFont="1" applyFill="1" applyBorder="1" applyAlignment="1" applyProtection="1">
      <alignment horizontal="right"/>
      <protection hidden="1"/>
    </xf>
    <xf numFmtId="0" fontId="10" fillId="3" borderId="16" xfId="0" applyNumberFormat="1" applyFont="1" applyFill="1" applyBorder="1" applyAlignment="1" applyProtection="1">
      <alignment horizontal="center"/>
      <protection hidden="1"/>
    </xf>
    <xf numFmtId="172" fontId="10" fillId="4" borderId="0" xfId="5" applyNumberFormat="1" applyFont="1" applyFill="1" applyProtection="1">
      <protection hidden="1"/>
    </xf>
    <xf numFmtId="172" fontId="12" fillId="4" borderId="0" xfId="5" applyNumberFormat="1" applyFont="1" applyFill="1" applyProtection="1">
      <protection hidden="1"/>
    </xf>
    <xf numFmtId="169" fontId="10" fillId="3" borderId="9" xfId="3" applyFont="1" applyFill="1" applyBorder="1" applyProtection="1">
      <protection hidden="1"/>
    </xf>
    <xf numFmtId="164" fontId="10" fillId="5" borderId="17" xfId="3" applyNumberFormat="1" applyFont="1" applyFill="1" applyBorder="1" applyAlignment="1" applyProtection="1">
      <alignment horizontal="center"/>
      <protection hidden="1"/>
    </xf>
    <xf numFmtId="0" fontId="12" fillId="3" borderId="0" xfId="0" applyFont="1" applyFill="1" applyBorder="1" applyAlignment="1" applyProtection="1">
      <protection hidden="1"/>
    </xf>
    <xf numFmtId="0" fontId="12" fillId="3" borderId="9" xfId="0" applyFont="1" applyFill="1" applyBorder="1" applyAlignment="1" applyProtection="1">
      <alignment horizontal="center" vertical="center" wrapText="1"/>
      <protection hidden="1"/>
    </xf>
    <xf numFmtId="0" fontId="10" fillId="3" borderId="14" xfId="0" applyNumberFormat="1" applyFont="1" applyFill="1" applyBorder="1" applyAlignment="1" applyProtection="1">
      <alignment horizontal="center"/>
      <protection hidden="1"/>
    </xf>
    <xf numFmtId="0" fontId="0" fillId="6" borderId="0" xfId="0" applyFill="1"/>
    <xf numFmtId="0" fontId="1" fillId="6" borderId="0" xfId="0" applyFont="1" applyFill="1" applyAlignment="1">
      <alignment horizontal="right"/>
    </xf>
    <xf numFmtId="175" fontId="7" fillId="6" borderId="0" xfId="5" applyNumberFormat="1" applyFont="1" applyFill="1"/>
    <xf numFmtId="0" fontId="6" fillId="6" borderId="0" xfId="0" applyFont="1" applyFill="1" applyAlignment="1">
      <alignment horizontal="left"/>
    </xf>
    <xf numFmtId="164" fontId="10" fillId="3" borderId="16" xfId="0" applyNumberFormat="1" applyFont="1" applyFill="1" applyBorder="1" applyProtection="1">
      <protection hidden="1"/>
    </xf>
    <xf numFmtId="170" fontId="2" fillId="2" borderId="0" xfId="3" applyNumberFormat="1" applyFont="1" applyFill="1" applyBorder="1" applyAlignment="1" applyProtection="1">
      <alignment horizontal="right"/>
      <protection hidden="1"/>
    </xf>
    <xf numFmtId="170" fontId="2" fillId="2" borderId="0" xfId="3" applyNumberFormat="1" applyFont="1" applyFill="1" applyBorder="1" applyProtection="1">
      <protection hidden="1"/>
    </xf>
    <xf numFmtId="175" fontId="2" fillId="2" borderId="0" xfId="5" applyNumberFormat="1" applyFont="1" applyFill="1" applyProtection="1">
      <protection hidden="1"/>
    </xf>
    <xf numFmtId="0" fontId="8" fillId="6" borderId="0" xfId="0" applyFont="1" applyFill="1"/>
    <xf numFmtId="170" fontId="10" fillId="2" borderId="0" xfId="3" applyNumberFormat="1" applyFont="1" applyFill="1" applyBorder="1" applyProtection="1">
      <protection hidden="1"/>
    </xf>
    <xf numFmtId="172" fontId="7" fillId="6" borderId="0" xfId="5" applyNumberFormat="1" applyFont="1" applyFill="1"/>
    <xf numFmtId="170" fontId="12" fillId="2" borderId="0" xfId="3" applyNumberFormat="1" applyFont="1" applyFill="1" applyProtection="1">
      <protection hidden="1"/>
    </xf>
    <xf numFmtId="0" fontId="20" fillId="6" borderId="0" xfId="1" applyFont="1" applyFill="1" applyBorder="1" applyAlignment="1" applyProtection="1">
      <alignment horizontal="center" vertical="center" wrapText="1"/>
      <protection hidden="1"/>
    </xf>
    <xf numFmtId="0" fontId="18" fillId="2" borderId="1" xfId="0" applyFont="1" applyFill="1" applyBorder="1" applyAlignment="1" applyProtection="1">
      <alignment horizontal="center"/>
      <protection hidden="1"/>
    </xf>
    <xf numFmtId="0" fontId="18" fillId="2" borderId="0" xfId="0" applyFont="1" applyFill="1" applyBorder="1" applyAlignment="1" applyProtection="1">
      <alignment horizontal="center"/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17" fillId="3" borderId="0" xfId="0" applyFont="1" applyFill="1" applyBorder="1" applyAlignment="1" applyProtection="1">
      <alignment horizontal="center"/>
      <protection hidden="1"/>
    </xf>
    <xf numFmtId="172" fontId="10" fillId="6" borderId="0" xfId="0" applyNumberFormat="1" applyFont="1" applyFill="1" applyAlignment="1" applyProtection="1">
      <alignment horizontal="center"/>
      <protection locked="0"/>
    </xf>
    <xf numFmtId="169" fontId="10" fillId="3" borderId="10" xfId="3" applyFont="1" applyFill="1" applyBorder="1" applyProtection="1">
      <protection hidden="1"/>
    </xf>
    <xf numFmtId="170" fontId="10" fillId="0" borderId="0" xfId="3" applyNumberFormat="1" applyFont="1" applyFill="1" applyBorder="1" applyAlignment="1" applyProtection="1">
      <alignment horizontal="right"/>
      <protection hidden="1"/>
    </xf>
    <xf numFmtId="0" fontId="18" fillId="2" borderId="1" xfId="0" applyFont="1" applyFill="1" applyBorder="1" applyAlignment="1" applyProtection="1">
      <alignment horizontal="center"/>
      <protection hidden="1"/>
    </xf>
    <xf numFmtId="0" fontId="18" fillId="2" borderId="0" xfId="0" applyFont="1" applyFill="1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9" fillId="6" borderId="0" xfId="0" applyFont="1" applyFill="1"/>
    <xf numFmtId="176" fontId="9" fillId="6" borderId="0" xfId="0" applyNumberFormat="1" applyFont="1" applyFill="1" applyAlignment="1">
      <alignment horizontal="right"/>
    </xf>
    <xf numFmtId="170" fontId="11" fillId="11" borderId="0" xfId="3" applyNumberFormat="1" applyFont="1" applyFill="1" applyAlignment="1" applyProtection="1">
      <alignment horizontal="center"/>
      <protection hidden="1"/>
    </xf>
    <xf numFmtId="170" fontId="11" fillId="3" borderId="0" xfId="3" applyNumberFormat="1" applyFont="1" applyFill="1" applyAlignment="1" applyProtection="1">
      <alignment horizontal="center"/>
      <protection hidden="1"/>
    </xf>
    <xf numFmtId="170" fontId="10" fillId="3" borderId="11" xfId="3" applyNumberFormat="1" applyFont="1" applyFill="1" applyBorder="1" applyProtection="1">
      <protection hidden="1"/>
    </xf>
    <xf numFmtId="169" fontId="10" fillId="3" borderId="11" xfId="3" applyFont="1" applyFill="1" applyBorder="1" applyProtection="1"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13" fillId="7" borderId="28" xfId="0" applyFont="1" applyFill="1" applyBorder="1" applyAlignment="1" applyProtection="1">
      <alignment horizontal="center" vertical="center"/>
      <protection hidden="1"/>
    </xf>
    <xf numFmtId="0" fontId="13" fillId="7" borderId="35" xfId="0" applyFont="1" applyFill="1" applyBorder="1" applyAlignment="1" applyProtection="1">
      <alignment horizontal="center" vertical="center"/>
      <protection hidden="1"/>
    </xf>
    <xf numFmtId="0" fontId="13" fillId="7" borderId="36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/>
      <protection hidden="1"/>
    </xf>
    <xf numFmtId="0" fontId="23" fillId="6" borderId="23" xfId="1" applyFont="1" applyFill="1" applyBorder="1" applyAlignment="1" applyProtection="1">
      <alignment horizontal="center" vertical="center" wrapText="1"/>
      <protection hidden="1"/>
    </xf>
    <xf numFmtId="0" fontId="19" fillId="4" borderId="34" xfId="0" applyFont="1" applyFill="1" applyBorder="1" applyAlignment="1" applyProtection="1">
      <alignment horizontal="center" vertical="center"/>
      <protection hidden="1"/>
    </xf>
    <xf numFmtId="0" fontId="12" fillId="3" borderId="29" xfId="0" applyFont="1" applyFill="1" applyBorder="1" applyAlignment="1" applyProtection="1">
      <alignment horizontal="center"/>
      <protection hidden="1"/>
    </xf>
    <xf numFmtId="0" fontId="12" fillId="3" borderId="30" xfId="0" applyFont="1" applyFill="1" applyBorder="1" applyAlignment="1" applyProtection="1">
      <alignment horizontal="center"/>
      <protection hidden="1"/>
    </xf>
    <xf numFmtId="0" fontId="12" fillId="3" borderId="31" xfId="0" applyFont="1" applyFill="1" applyBorder="1" applyAlignment="1" applyProtection="1">
      <alignment horizontal="center"/>
      <protection hidden="1"/>
    </xf>
    <xf numFmtId="0" fontId="20" fillId="6" borderId="22" xfId="1" applyFont="1" applyFill="1" applyBorder="1" applyAlignment="1" applyProtection="1">
      <alignment horizontal="center" vertical="center" wrapText="1"/>
      <protection hidden="1"/>
    </xf>
    <xf numFmtId="0" fontId="20" fillId="6" borderId="21" xfId="1" applyFont="1" applyFill="1" applyBorder="1" applyAlignment="1" applyProtection="1">
      <alignment horizontal="center" vertical="center" wrapText="1"/>
      <protection hidden="1"/>
    </xf>
    <xf numFmtId="0" fontId="20" fillId="6" borderId="32" xfId="1" applyFont="1" applyFill="1" applyBorder="1" applyAlignment="1" applyProtection="1">
      <alignment horizontal="center" vertical="center" wrapText="1"/>
      <protection hidden="1"/>
    </xf>
    <xf numFmtId="0" fontId="20" fillId="6" borderId="33" xfId="1" applyFont="1" applyFill="1" applyBorder="1" applyAlignment="1" applyProtection="1">
      <alignment horizontal="center" vertical="center" wrapText="1"/>
      <protection hidden="1"/>
    </xf>
    <xf numFmtId="0" fontId="20" fillId="6" borderId="0" xfId="1" applyFont="1" applyFill="1" applyBorder="1" applyAlignment="1" applyProtection="1">
      <alignment horizontal="center" vertical="center" wrapText="1"/>
      <protection hidden="1"/>
    </xf>
    <xf numFmtId="0" fontId="20" fillId="6" borderId="27" xfId="1" applyFont="1" applyFill="1" applyBorder="1" applyAlignment="1" applyProtection="1">
      <alignment horizontal="center" vertical="center" wrapText="1"/>
      <protection hidden="1"/>
    </xf>
    <xf numFmtId="0" fontId="13" fillId="7" borderId="26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/>
      <protection hidden="1"/>
    </xf>
    <xf numFmtId="0" fontId="18" fillId="2" borderId="0" xfId="0" applyFont="1" applyFill="1" applyBorder="1" applyAlignment="1" applyProtection="1">
      <alignment horizontal="center"/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20" fillId="6" borderId="0" xfId="1" applyFont="1" applyFill="1" applyAlignment="1" applyProtection="1">
      <alignment horizontal="center" vertical="center" wrapText="1"/>
      <protection hidden="1"/>
    </xf>
    <xf numFmtId="0" fontId="20" fillId="6" borderId="24" xfId="1" applyFont="1" applyFill="1" applyBorder="1" applyAlignment="1" applyProtection="1">
      <alignment horizontal="center" vertical="center" wrapText="1"/>
      <protection hidden="1"/>
    </xf>
    <xf numFmtId="0" fontId="20" fillId="6" borderId="34" xfId="1" applyFont="1" applyFill="1" applyBorder="1" applyAlignment="1" applyProtection="1">
      <alignment horizontal="center" vertical="center" wrapText="1"/>
      <protection hidden="1"/>
    </xf>
    <xf numFmtId="0" fontId="20" fillId="6" borderId="37" xfId="1" applyFont="1" applyFill="1" applyBorder="1" applyAlignment="1" applyProtection="1">
      <alignment horizontal="center" vertical="center" wrapText="1"/>
      <protection hidden="1"/>
    </xf>
    <xf numFmtId="0" fontId="13" fillId="7" borderId="38" xfId="0" applyFont="1" applyFill="1" applyBorder="1" applyAlignment="1" applyProtection="1">
      <alignment horizontal="center" vertical="center"/>
      <protection hidden="1"/>
    </xf>
    <xf numFmtId="0" fontId="13" fillId="7" borderId="39" xfId="0" applyFont="1" applyFill="1" applyBorder="1" applyAlignment="1" applyProtection="1">
      <alignment horizontal="center" vertical="center"/>
      <protection hidden="1"/>
    </xf>
    <xf numFmtId="0" fontId="13" fillId="7" borderId="40" xfId="0" applyFont="1" applyFill="1" applyBorder="1" applyAlignment="1" applyProtection="1">
      <alignment horizontal="center" vertical="center"/>
      <protection hidden="1"/>
    </xf>
    <xf numFmtId="0" fontId="12" fillId="3" borderId="18" xfId="0" applyFont="1" applyFill="1" applyBorder="1" applyAlignment="1" applyProtection="1">
      <alignment horizontal="center"/>
      <protection hidden="1"/>
    </xf>
    <xf numFmtId="0" fontId="12" fillId="3" borderId="19" xfId="0" applyFont="1" applyFill="1" applyBorder="1" applyAlignment="1" applyProtection="1">
      <alignment horizontal="center"/>
      <protection hidden="1"/>
    </xf>
    <xf numFmtId="0" fontId="12" fillId="3" borderId="12" xfId="0" applyFont="1" applyFill="1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17" fillId="3" borderId="0" xfId="0" applyFont="1" applyFill="1" applyBorder="1" applyAlignment="1" applyProtection="1">
      <alignment horizontal="center"/>
      <protection hidden="1"/>
    </xf>
  </cellXfs>
  <cellStyles count="6">
    <cellStyle name="=C:\WINNT\SYSTEM32\COMMAND.COM" xfId="1"/>
    <cellStyle name="Euro" xfId="2"/>
    <cellStyle name="Millares" xfId="3" builtinId="3"/>
    <cellStyle name="Normal" xfId="0" builtinId="0"/>
    <cellStyle name="Normal 2" xfId="4"/>
    <cellStyle name="Porcentaje" xfId="5" builtinId="5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4</xdr:col>
      <xdr:colOff>495300</xdr:colOff>
      <xdr:row>3</xdr:row>
      <xdr:rowOff>133350</xdr:rowOff>
    </xdr:to>
    <xdr:pic>
      <xdr:nvPicPr>
        <xdr:cNvPr id="2664" name="1 Imagen">
          <a:extLst>
            <a:ext uri="{FF2B5EF4-FFF2-40B4-BE49-F238E27FC236}">
              <a16:creationId xmlns:a16="http://schemas.microsoft.com/office/drawing/2014/main" id="{143C17B3-B473-25B9-8325-E3C314E67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039" b="30556"/>
        <a:stretch>
          <a:fillRect/>
        </a:stretch>
      </xdr:blipFill>
      <xdr:spPr bwMode="auto">
        <a:xfrm>
          <a:off x="1714500" y="0"/>
          <a:ext cx="22955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0</xdr:row>
      <xdr:rowOff>171450</xdr:rowOff>
    </xdr:from>
    <xdr:to>
      <xdr:col>8</xdr:col>
      <xdr:colOff>0</xdr:colOff>
      <xdr:row>4</xdr:row>
      <xdr:rowOff>57150</xdr:rowOff>
    </xdr:to>
    <xdr:pic>
      <xdr:nvPicPr>
        <xdr:cNvPr id="2665" name="Picture 56">
          <a:extLst>
            <a:ext uri="{FF2B5EF4-FFF2-40B4-BE49-F238E27FC236}">
              <a16:creationId xmlns:a16="http://schemas.microsoft.com/office/drawing/2014/main" id="{440F3618-D60A-7E09-9D02-4B1C3B33B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61925"/>
          <a:ext cx="1714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6397" name="1 Imagen">
          <a:extLst>
            <a:ext uri="{FF2B5EF4-FFF2-40B4-BE49-F238E27FC236}">
              <a16:creationId xmlns:a16="http://schemas.microsoft.com/office/drawing/2014/main" id="{03317DEC-67EC-2A4F-2F1D-B9E8B4ACE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039" b="30556"/>
        <a:stretch>
          <a:fillRect/>
        </a:stretch>
      </xdr:blipFill>
      <xdr:spPr bwMode="auto">
        <a:xfrm>
          <a:off x="1714500" y="0"/>
          <a:ext cx="26479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0</xdr:row>
      <xdr:rowOff>171450</xdr:rowOff>
    </xdr:from>
    <xdr:to>
      <xdr:col>8</xdr:col>
      <xdr:colOff>95250</xdr:colOff>
      <xdr:row>4</xdr:row>
      <xdr:rowOff>76200</xdr:rowOff>
    </xdr:to>
    <xdr:pic>
      <xdr:nvPicPr>
        <xdr:cNvPr id="6398" name="Picture 56">
          <a:extLst>
            <a:ext uri="{FF2B5EF4-FFF2-40B4-BE49-F238E27FC236}">
              <a16:creationId xmlns:a16="http://schemas.microsoft.com/office/drawing/2014/main" id="{9F2C5818-7A94-1E68-7035-6211B2D4A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61925"/>
          <a:ext cx="18097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3629" name="1 Imagen">
          <a:extLst>
            <a:ext uri="{FF2B5EF4-FFF2-40B4-BE49-F238E27FC236}">
              <a16:creationId xmlns:a16="http://schemas.microsoft.com/office/drawing/2014/main" id="{B142D96F-ED34-0430-ADDF-137351533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039" b="30556"/>
        <a:stretch>
          <a:fillRect/>
        </a:stretch>
      </xdr:blipFill>
      <xdr:spPr bwMode="auto">
        <a:xfrm>
          <a:off x="2095500" y="0"/>
          <a:ext cx="2295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0</xdr:row>
      <xdr:rowOff>133350</xdr:rowOff>
    </xdr:from>
    <xdr:to>
      <xdr:col>7</xdr:col>
      <xdr:colOff>723900</xdr:colOff>
      <xdr:row>4</xdr:row>
      <xdr:rowOff>28575</xdr:rowOff>
    </xdr:to>
    <xdr:pic>
      <xdr:nvPicPr>
        <xdr:cNvPr id="3630" name="Picture 56">
          <a:extLst>
            <a:ext uri="{FF2B5EF4-FFF2-40B4-BE49-F238E27FC236}">
              <a16:creationId xmlns:a16="http://schemas.microsoft.com/office/drawing/2014/main" id="{1257FF8E-7C5B-567E-E100-68DD6AAD6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33350"/>
          <a:ext cx="16668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D101"/>
  <sheetViews>
    <sheetView showGridLines="0" tabSelected="1" zoomScaleNormal="100" workbookViewId="0">
      <selection activeCell="I13" sqref="I13"/>
    </sheetView>
  </sheetViews>
  <sheetFormatPr baseColWidth="10" defaultColWidth="0" defaultRowHeight="12.75"/>
  <cols>
    <col min="1" max="1" width="12.85546875" style="2" customWidth="1"/>
    <col min="2" max="2" width="12.42578125" style="2" customWidth="1"/>
    <col min="3" max="3" width="15.140625" style="2" customWidth="1"/>
    <col min="4" max="4" width="12.28515625" style="2" bestFit="1" customWidth="1"/>
    <col min="5" max="5" width="12.7109375" style="2" customWidth="1"/>
    <col min="6" max="6" width="16.85546875" style="2" customWidth="1"/>
    <col min="7" max="7" width="14" style="2" customWidth="1"/>
    <col min="8" max="8" width="12.85546875" style="2" customWidth="1"/>
    <col min="9" max="9" width="17.42578125" style="2" bestFit="1" customWidth="1"/>
    <col min="10" max="10" width="13.85546875" style="2" customWidth="1"/>
    <col min="11" max="11" width="1.140625" style="2" customWidth="1"/>
    <col min="12" max="12" width="10.42578125" style="3" hidden="1" customWidth="1"/>
    <col min="13" max="13" width="16.42578125" style="3" hidden="1" customWidth="1"/>
    <col min="14" max="14" width="18.42578125" style="3" hidden="1" customWidth="1"/>
    <col min="15" max="15" width="12.7109375" style="3" hidden="1" customWidth="1"/>
    <col min="16" max="16" width="18" style="3" hidden="1" customWidth="1"/>
    <col min="17" max="19" width="16.42578125" style="3" hidden="1" customWidth="1"/>
    <col min="20" max="20" width="14.85546875" style="3" hidden="1" customWidth="1"/>
    <col min="21" max="21" width="17.42578125" style="3" hidden="1" customWidth="1"/>
    <col min="22" max="22" width="17.5703125" style="3" hidden="1" customWidth="1"/>
    <col min="23" max="23" width="12.140625" style="4" hidden="1" customWidth="1"/>
    <col min="24" max="24" width="11.7109375" style="3" hidden="1" customWidth="1"/>
    <col min="25" max="25" width="13.85546875" style="143" hidden="1" customWidth="1"/>
    <col min="26" max="26" width="14.42578125" style="3" hidden="1" customWidth="1"/>
    <col min="27" max="28" width="11.7109375" style="3" hidden="1" customWidth="1"/>
    <col min="29" max="29" width="12.28515625" style="3" hidden="1" customWidth="1"/>
    <col min="30" max="30" width="12.5703125" style="12" hidden="1" customWidth="1"/>
    <col min="31" max="16384" width="11.42578125" style="2" hidden="1"/>
  </cols>
  <sheetData>
    <row r="1" spans="1:30">
      <c r="A1" s="1"/>
      <c r="B1" s="1"/>
      <c r="C1" s="1"/>
      <c r="D1" s="1"/>
      <c r="E1" s="1"/>
      <c r="F1" s="1"/>
      <c r="G1" s="1"/>
      <c r="H1" s="1"/>
      <c r="J1" s="1"/>
      <c r="L1" s="277"/>
      <c r="M1" s="277"/>
      <c r="N1" s="277"/>
      <c r="O1" s="277"/>
    </row>
    <row r="2" spans="1:30">
      <c r="A2" s="1"/>
      <c r="B2" s="1"/>
      <c r="C2" s="1"/>
      <c r="D2" s="1"/>
      <c r="E2" s="1"/>
      <c r="F2" s="1"/>
      <c r="G2" s="1"/>
      <c r="H2" s="1"/>
      <c r="J2" s="1"/>
      <c r="L2" s="263"/>
      <c r="M2" s="263"/>
      <c r="N2" s="263"/>
      <c r="O2" s="263"/>
    </row>
    <row r="3" spans="1:30">
      <c r="A3" s="1"/>
      <c r="B3" s="1"/>
      <c r="C3" s="1"/>
      <c r="D3" s="1"/>
      <c r="E3" s="1"/>
      <c r="F3" s="1"/>
      <c r="G3" s="1"/>
      <c r="H3" s="1"/>
      <c r="J3" s="1"/>
      <c r="L3" s="263"/>
      <c r="M3" s="263"/>
      <c r="N3" s="263"/>
      <c r="O3" s="263"/>
    </row>
    <row r="4" spans="1:30">
      <c r="A4" s="1"/>
      <c r="B4" s="1"/>
      <c r="C4" s="1"/>
      <c r="D4" s="1"/>
      <c r="E4" s="1"/>
      <c r="F4" s="1"/>
      <c r="G4" s="1"/>
      <c r="H4" s="1"/>
      <c r="J4" s="1"/>
      <c r="L4" s="263"/>
      <c r="M4" s="263"/>
      <c r="N4" s="263"/>
      <c r="O4" s="263"/>
    </row>
    <row r="5" spans="1:30">
      <c r="A5" s="1"/>
      <c r="B5" s="1"/>
      <c r="C5" s="1"/>
      <c r="D5" s="1"/>
      <c r="E5" s="1"/>
      <c r="F5" s="1"/>
      <c r="G5" s="1"/>
      <c r="H5" s="1"/>
      <c r="J5" s="1"/>
      <c r="L5" s="263"/>
      <c r="M5" s="263"/>
      <c r="N5" s="263"/>
      <c r="O5" s="263"/>
    </row>
    <row r="6" spans="1:30" ht="23.25">
      <c r="A6" s="294" t="s">
        <v>42</v>
      </c>
      <c r="B6" s="295"/>
      <c r="C6" s="295"/>
      <c r="D6" s="295"/>
      <c r="E6" s="295"/>
      <c r="F6" s="295"/>
      <c r="G6" s="295"/>
      <c r="H6" s="295"/>
      <c r="I6" s="295"/>
      <c r="J6" s="295"/>
      <c r="K6" s="1"/>
      <c r="M6" s="7"/>
    </row>
    <row r="7" spans="1:30" ht="12" customHeight="1">
      <c r="A7" s="261"/>
      <c r="B7" s="262"/>
      <c r="C7" s="262"/>
      <c r="D7" s="262"/>
      <c r="E7" s="262"/>
      <c r="F7" s="262"/>
      <c r="G7" s="262"/>
      <c r="H7" s="262"/>
      <c r="I7" s="262"/>
      <c r="J7" s="262"/>
      <c r="K7" s="1"/>
      <c r="M7" s="7"/>
    </row>
    <row r="8" spans="1:30" ht="13.5" customHeight="1">
      <c r="A8" s="261"/>
      <c r="B8" s="282" t="s">
        <v>31</v>
      </c>
      <c r="C8" s="282"/>
      <c r="D8" s="282"/>
      <c r="E8" s="282"/>
      <c r="F8" s="262"/>
      <c r="G8" s="262"/>
      <c r="H8" s="262"/>
      <c r="I8" s="262"/>
      <c r="J8" s="262"/>
      <c r="K8" s="1"/>
      <c r="M8" s="7"/>
    </row>
    <row r="9" spans="1:30" ht="23.25" customHeight="1">
      <c r="A9" s="261"/>
      <c r="B9" s="287" t="s">
        <v>39</v>
      </c>
      <c r="C9" s="288"/>
      <c r="D9" s="288"/>
      <c r="E9" s="289"/>
      <c r="F9" s="262"/>
      <c r="G9" s="262"/>
      <c r="H9" s="262"/>
      <c r="I9" s="262"/>
      <c r="J9" s="262"/>
      <c r="K9" s="1"/>
      <c r="M9" s="7"/>
    </row>
    <row r="10" spans="1:30" ht="15.75" customHeight="1">
      <c r="A10" s="261"/>
      <c r="B10" s="290"/>
      <c r="C10" s="291"/>
      <c r="D10" s="291"/>
      <c r="E10" s="292"/>
      <c r="F10" s="262"/>
      <c r="G10" s="262"/>
      <c r="H10" s="262"/>
      <c r="I10" s="262"/>
      <c r="J10" s="262"/>
      <c r="K10" s="1"/>
      <c r="M10" s="7"/>
    </row>
    <row r="11" spans="1:30" ht="15" customHeight="1">
      <c r="A11" s="261"/>
      <c r="B11" s="182"/>
      <c r="C11" s="182"/>
      <c r="D11" s="182"/>
      <c r="E11" s="182"/>
      <c r="F11" s="262"/>
      <c r="G11" s="262"/>
      <c r="H11" s="262"/>
      <c r="I11" s="262"/>
      <c r="J11" s="262"/>
      <c r="K11" s="1"/>
      <c r="M11" s="7"/>
    </row>
    <row r="12" spans="1:30">
      <c r="A12" s="8"/>
      <c r="B12" s="1"/>
      <c r="C12" s="22" t="s">
        <v>12</v>
      </c>
      <c r="D12" s="80">
        <v>255526000</v>
      </c>
      <c r="E12" s="9"/>
      <c r="F12" s="22" t="s">
        <v>13</v>
      </c>
      <c r="G12" s="81">
        <v>1.1120000000000001</v>
      </c>
      <c r="I12" s="1"/>
      <c r="J12" s="1"/>
      <c r="K12" s="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264"/>
      <c r="Y12" s="12"/>
      <c r="Z12" s="12"/>
      <c r="AA12" s="12"/>
      <c r="AB12" s="12"/>
      <c r="AC12" s="12"/>
      <c r="AD12" s="2"/>
    </row>
    <row r="13" spans="1:30">
      <c r="A13" s="8"/>
      <c r="B13" s="1"/>
      <c r="C13" s="120"/>
      <c r="D13" s="162"/>
      <c r="E13" s="9"/>
      <c r="F13" s="118" t="s">
        <v>7</v>
      </c>
      <c r="G13" s="119">
        <f>+U43/P14</f>
        <v>0.99444217400956725</v>
      </c>
      <c r="H13" s="197"/>
      <c r="I13" s="148"/>
      <c r="J13" s="1"/>
      <c r="K13" s="1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44"/>
      <c r="Y13" s="12"/>
      <c r="Z13" s="12"/>
      <c r="AA13" s="12"/>
      <c r="AB13" s="12"/>
      <c r="AC13" s="12"/>
      <c r="AD13" s="2"/>
    </row>
    <row r="14" spans="1:30">
      <c r="A14" s="8"/>
      <c r="B14" s="1"/>
      <c r="C14" s="22" t="s">
        <v>33</v>
      </c>
      <c r="D14" s="23">
        <v>0.01</v>
      </c>
      <c r="E14" s="9"/>
      <c r="F14" s="82" t="s">
        <v>10</v>
      </c>
      <c r="G14" s="83">
        <f>+U39</f>
        <v>4.4457355189200962</v>
      </c>
      <c r="H14" s="187"/>
      <c r="I14" s="149"/>
      <c r="J14" s="11"/>
      <c r="L14" s="10"/>
      <c r="M14" s="12"/>
      <c r="N14" s="12"/>
      <c r="O14" s="13" t="s">
        <v>12</v>
      </c>
      <c r="P14" s="14">
        <f>+D12</f>
        <v>255526000</v>
      </c>
      <c r="Q14" s="15"/>
      <c r="R14" s="15"/>
      <c r="S14" s="15"/>
      <c r="T14" s="15"/>
      <c r="U14" s="15"/>
      <c r="V14" s="16"/>
      <c r="W14" s="10"/>
      <c r="X14" s="144"/>
      <c r="Y14" s="45"/>
      <c r="Z14" s="12"/>
      <c r="AA14" s="12"/>
      <c r="AB14" s="12"/>
      <c r="AC14" s="12"/>
      <c r="AD14" s="2"/>
    </row>
    <row r="15" spans="1:30">
      <c r="A15" s="8"/>
      <c r="B15" s="1"/>
      <c r="C15" s="22" t="s">
        <v>16</v>
      </c>
      <c r="D15" s="23">
        <v>0.7</v>
      </c>
      <c r="E15" s="9"/>
      <c r="F15" s="22" t="s">
        <v>11</v>
      </c>
      <c r="G15" s="25">
        <f>+XIRR(H23:H34,B23:B34)</f>
        <v>1.1128272175788878</v>
      </c>
      <c r="H15" s="25"/>
      <c r="I15" s="17"/>
      <c r="J15" s="1"/>
      <c r="K15" s="1"/>
      <c r="L15" s="10"/>
      <c r="M15" s="12"/>
      <c r="N15" s="12"/>
      <c r="O15" s="18" t="s">
        <v>13</v>
      </c>
      <c r="P15" s="19">
        <f>+G12</f>
        <v>1.1120000000000001</v>
      </c>
      <c r="Q15" s="20"/>
      <c r="R15" s="20"/>
      <c r="S15" s="20"/>
      <c r="T15" s="20"/>
      <c r="U15" s="20"/>
      <c r="V15" s="20"/>
      <c r="W15" s="10"/>
      <c r="X15" s="144"/>
      <c r="Y15" s="45"/>
      <c r="Z15" s="12"/>
      <c r="AA15" s="12"/>
      <c r="AB15" s="12"/>
      <c r="AC15" s="12"/>
      <c r="AD15" s="2"/>
    </row>
    <row r="16" spans="1:30">
      <c r="A16" s="8"/>
      <c r="B16" s="1"/>
      <c r="C16" s="22" t="s">
        <v>17</v>
      </c>
      <c r="D16" s="23">
        <v>0.85</v>
      </c>
      <c r="E16" s="9"/>
      <c r="F16" s="22" t="s">
        <v>14</v>
      </c>
      <c r="G16" s="25">
        <f>+((1+G15)^(1/12)-1)*12</f>
        <v>0.77183339393875983</v>
      </c>
      <c r="H16" s="25"/>
      <c r="I16" s="17"/>
      <c r="J16" s="1"/>
      <c r="K16" s="1"/>
      <c r="L16" s="10"/>
      <c r="M16" s="12"/>
      <c r="N16" s="12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"/>
      <c r="AB16" s="12"/>
      <c r="AC16" s="12"/>
      <c r="AD16" s="2"/>
    </row>
    <row r="17" spans="1:30">
      <c r="A17" s="8"/>
      <c r="B17" s="1"/>
      <c r="E17" s="9"/>
      <c r="F17" s="22" t="s">
        <v>15</v>
      </c>
      <c r="G17" s="25">
        <f>+(G16-D36)</f>
        <v>7.9958393938759809E-2</v>
      </c>
      <c r="H17" s="121" t="s">
        <v>34</v>
      </c>
      <c r="I17" s="17"/>
      <c r="J17" s="1"/>
      <c r="K17" s="1"/>
      <c r="L17" s="10"/>
      <c r="M17" s="12"/>
      <c r="N17" s="12"/>
      <c r="O17" s="21"/>
      <c r="P17" s="20"/>
      <c r="Q17" s="20"/>
      <c r="R17" s="20"/>
      <c r="S17" s="20"/>
      <c r="T17" s="20"/>
      <c r="U17" s="20"/>
      <c r="V17" s="20"/>
      <c r="W17" s="10"/>
      <c r="X17" s="144"/>
      <c r="Y17" s="45"/>
      <c r="Z17" s="12"/>
      <c r="AA17" s="12"/>
      <c r="AB17" s="12"/>
      <c r="AC17" s="12"/>
      <c r="AD17" s="2"/>
    </row>
    <row r="18" spans="1:30">
      <c r="A18" s="8"/>
      <c r="B18" s="1"/>
      <c r="C18" s="22"/>
      <c r="D18" s="23"/>
      <c r="E18" s="9"/>
      <c r="F18" s="22" t="s">
        <v>14</v>
      </c>
      <c r="G18" s="25">
        <f>+((1+G12)^(1/12)-1)*12</f>
        <v>0.77141661504640702</v>
      </c>
      <c r="H18" s="24" t="s">
        <v>19</v>
      </c>
      <c r="J18" s="1"/>
      <c r="K18" s="1"/>
      <c r="L18" s="10"/>
      <c r="M18" s="12"/>
      <c r="N18" s="12"/>
      <c r="O18" s="21"/>
      <c r="P18" s="20"/>
      <c r="Q18" s="20"/>
      <c r="R18" s="20"/>
      <c r="S18" s="20"/>
      <c r="T18" s="20"/>
      <c r="U18" s="20"/>
      <c r="V18" s="20"/>
      <c r="W18" s="12"/>
      <c r="X18" s="12"/>
      <c r="Y18" s="12"/>
      <c r="Z18" s="12"/>
      <c r="AA18" s="12"/>
      <c r="AB18" s="12"/>
      <c r="AC18" s="12"/>
      <c r="AD18" s="2"/>
    </row>
    <row r="19" spans="1:30">
      <c r="A19" s="8"/>
      <c r="B19" s="1"/>
      <c r="C19" s="1"/>
      <c r="D19" s="22"/>
      <c r="E19" s="23"/>
      <c r="F19" s="9"/>
      <c r="G19" s="22"/>
      <c r="H19" s="25"/>
      <c r="I19" s="24"/>
      <c r="J19" s="1"/>
      <c r="K19" s="1"/>
      <c r="R19" s="4"/>
      <c r="V19" s="26"/>
      <c r="W19" s="12"/>
      <c r="X19" s="12"/>
      <c r="Y19" s="12"/>
      <c r="Z19" s="12"/>
      <c r="AA19" s="12"/>
      <c r="AB19" s="12"/>
      <c r="AC19" s="12"/>
      <c r="AD19" s="2"/>
    </row>
    <row r="20" spans="1:30" ht="15">
      <c r="A20" s="8"/>
      <c r="B20" s="283" t="s">
        <v>36</v>
      </c>
      <c r="C20" s="283"/>
      <c r="D20" s="283"/>
      <c r="E20" s="283"/>
      <c r="F20" s="283"/>
      <c r="G20" s="283"/>
      <c r="H20" s="283"/>
      <c r="I20" s="283"/>
      <c r="J20" s="1"/>
      <c r="K20" s="1"/>
      <c r="R20" s="4"/>
      <c r="V20" s="26"/>
      <c r="W20" s="12"/>
      <c r="X20" s="12"/>
      <c r="Y20" s="12"/>
      <c r="Z20" s="12"/>
      <c r="AA20" s="12"/>
      <c r="AB20" s="12"/>
      <c r="AC20" s="12"/>
      <c r="AD20" s="2"/>
    </row>
    <row r="21" spans="1:30">
      <c r="A21" s="8"/>
      <c r="B21" s="278" t="s">
        <v>26</v>
      </c>
      <c r="C21" s="279"/>
      <c r="D21" s="279"/>
      <c r="E21" s="279"/>
      <c r="F21" s="279"/>
      <c r="G21" s="279"/>
      <c r="H21" s="279"/>
      <c r="I21" s="280"/>
      <c r="J21" s="61"/>
      <c r="K21" s="27"/>
      <c r="L21" s="10"/>
      <c r="M21" s="10"/>
      <c r="N21" s="284" t="s">
        <v>25</v>
      </c>
      <c r="O21" s="285"/>
      <c r="P21" s="285"/>
      <c r="Q21" s="286"/>
      <c r="R21" s="245"/>
      <c r="S21" s="26"/>
      <c r="T21" s="26"/>
      <c r="U21" s="26"/>
      <c r="V21" s="30"/>
      <c r="W21" s="12"/>
      <c r="X21" s="12"/>
      <c r="Y21" s="12"/>
      <c r="Z21" s="12"/>
      <c r="AA21" s="12"/>
      <c r="AB21" s="12"/>
      <c r="AC21" s="12"/>
      <c r="AD21" s="2"/>
    </row>
    <row r="22" spans="1:30" ht="25.5">
      <c r="A22" s="58"/>
      <c r="B22" s="64" t="s">
        <v>0</v>
      </c>
      <c r="C22" s="64" t="s">
        <v>32</v>
      </c>
      <c r="D22" s="65" t="s">
        <v>28</v>
      </c>
      <c r="E22" s="65" t="s">
        <v>6</v>
      </c>
      <c r="F22" s="66" t="s">
        <v>1</v>
      </c>
      <c r="G22" s="59" t="s">
        <v>2</v>
      </c>
      <c r="H22" s="66" t="s">
        <v>4</v>
      </c>
      <c r="I22" s="66" t="s">
        <v>8</v>
      </c>
      <c r="J22" s="60"/>
      <c r="L22" s="28" t="s">
        <v>0</v>
      </c>
      <c r="M22" s="29" t="s">
        <v>20</v>
      </c>
      <c r="N22" s="246" t="s">
        <v>23</v>
      </c>
      <c r="O22" s="246" t="s">
        <v>3</v>
      </c>
      <c r="P22" s="246" t="s">
        <v>21</v>
      </c>
      <c r="Q22" s="28" t="s">
        <v>22</v>
      </c>
      <c r="R22" s="30"/>
      <c r="S22" s="30" t="s">
        <v>3</v>
      </c>
      <c r="T22" s="30" t="s">
        <v>24</v>
      </c>
      <c r="U22" s="30" t="s">
        <v>5</v>
      </c>
      <c r="V22" s="35"/>
      <c r="W22" s="12"/>
      <c r="X22" s="12"/>
      <c r="Y22" s="12"/>
      <c r="Z22" s="12"/>
      <c r="AA22" s="12"/>
      <c r="AB22" s="12"/>
      <c r="AC22" s="12"/>
      <c r="AD22" s="2"/>
    </row>
    <row r="23" spans="1:30">
      <c r="A23" s="36"/>
      <c r="B23" s="233">
        <v>44895</v>
      </c>
      <c r="C23" s="73"/>
      <c r="D23" s="74"/>
      <c r="E23" s="75"/>
      <c r="F23" s="76"/>
      <c r="G23" s="76"/>
      <c r="H23" s="77">
        <f>+D12*G13*-1</f>
        <v>-254105830.95596868</v>
      </c>
      <c r="I23" s="76">
        <f>+D12</f>
        <v>255526000</v>
      </c>
      <c r="J23" s="37"/>
      <c r="K23" s="1"/>
      <c r="L23" s="31">
        <f>+B23</f>
        <v>44895</v>
      </c>
      <c r="M23" s="150"/>
      <c r="N23" s="32">
        <v>44865</v>
      </c>
      <c r="O23" s="151"/>
      <c r="P23" s="31"/>
      <c r="Q23" s="33"/>
      <c r="R23" s="35"/>
      <c r="S23" s="34">
        <f t="shared" ref="S23:S28" si="0">+L23-$B$23</f>
        <v>0</v>
      </c>
      <c r="T23" s="35"/>
      <c r="U23" s="35"/>
      <c r="V23" s="41"/>
      <c r="W23" s="12"/>
      <c r="X23" s="12"/>
      <c r="Y23" s="12"/>
      <c r="Z23" s="12"/>
      <c r="AA23" s="12"/>
      <c r="AB23" s="12"/>
      <c r="AC23" s="12"/>
      <c r="AD23" s="2"/>
    </row>
    <row r="24" spans="1:30">
      <c r="A24" s="36"/>
      <c r="B24" s="73">
        <v>44915</v>
      </c>
      <c r="C24" s="163">
        <f>+D36</f>
        <v>0.69187500000000002</v>
      </c>
      <c r="D24" s="78">
        <f>IF(C24+$D$14&lt;$D$15,$D$15,IF(C24+$D$14&gt;$D$16,$D$16,C24+$D$14))</f>
        <v>0.70187500000000003</v>
      </c>
      <c r="E24" s="48">
        <f>+F24/$I$23</f>
        <v>8.7968530518094695E-2</v>
      </c>
      <c r="F24" s="77">
        <f>+IF(I23&gt;0,MIN(M24-G24,I23),0)</f>
        <v>22478246.729166664</v>
      </c>
      <c r="G24" s="79">
        <f t="shared" ref="G24:G33" si="1">+MIN($M24,Q23+P24)</f>
        <v>14945609.270833334</v>
      </c>
      <c r="H24" s="76">
        <f t="shared" ref="H24:H33" si="2">+F24+G24</f>
        <v>37423856</v>
      </c>
      <c r="I24" s="76">
        <f>+I23-F24</f>
        <v>233047753.27083334</v>
      </c>
      <c r="J24" s="37"/>
      <c r="L24" s="38">
        <f>+B24</f>
        <v>44915</v>
      </c>
      <c r="M24" s="172">
        <f>+T44*$T$43</f>
        <v>37423856</v>
      </c>
      <c r="N24" s="39">
        <v>44895</v>
      </c>
      <c r="O24" s="173">
        <v>30</v>
      </c>
      <c r="P24" s="40">
        <f>+I23*(D24)/360*O24</f>
        <v>14945609.270833334</v>
      </c>
      <c r="Q24" s="40">
        <f>+Q23+P24-G24</f>
        <v>0</v>
      </c>
      <c r="R24" s="41"/>
      <c r="S24" s="34">
        <f t="shared" si="0"/>
        <v>20</v>
      </c>
      <c r="T24" s="41">
        <f>+H24/(1+$G$15)^(S24/360)</f>
        <v>35900503.069439523</v>
      </c>
      <c r="U24" s="41">
        <f>+T24*S24</f>
        <v>718010061.38879049</v>
      </c>
      <c r="V24" s="161"/>
      <c r="W24" s="156"/>
      <c r="X24" s="154"/>
      <c r="Y24" s="12"/>
      <c r="Z24" s="12"/>
      <c r="AA24" s="12"/>
      <c r="AB24" s="12"/>
      <c r="AC24" s="12"/>
      <c r="AD24" s="2"/>
    </row>
    <row r="25" spans="1:30">
      <c r="A25" s="36"/>
      <c r="B25" s="73">
        <v>44946</v>
      </c>
      <c r="C25" s="163">
        <v>0.68559999999999999</v>
      </c>
      <c r="D25" s="78">
        <f>IF(C25+$D$14&lt;$D$15,$D$15,IF(C25+$D$14&gt;$D$16,$D$16,C25+$D$14))</f>
        <v>0.7</v>
      </c>
      <c r="E25" s="48">
        <f>+F25/$I$23</f>
        <v>9.6190457041037125E-2</v>
      </c>
      <c r="F25" s="77">
        <f t="shared" ref="F25:F33" si="3">+IF(I24&gt;0,MIN(M25-G25,I24),0)</f>
        <v>24579162.725868054</v>
      </c>
      <c r="G25" s="79">
        <f t="shared" si="1"/>
        <v>13594452.274131944</v>
      </c>
      <c r="H25" s="76">
        <f t="shared" si="2"/>
        <v>38173615</v>
      </c>
      <c r="I25" s="76">
        <f t="shared" ref="I25:I33" si="4">+I24-F25</f>
        <v>208468590.5449653</v>
      </c>
      <c r="J25" s="37"/>
      <c r="L25" s="38">
        <f t="shared" ref="L25:L33" si="5">+B25</f>
        <v>44946</v>
      </c>
      <c r="M25" s="172">
        <f t="shared" ref="M25:M33" si="6">+T45*$T$43</f>
        <v>38173615</v>
      </c>
      <c r="N25" s="39">
        <v>44926</v>
      </c>
      <c r="O25" s="173">
        <v>30</v>
      </c>
      <c r="P25" s="40">
        <f t="shared" ref="P25:P33" si="7">+I24*(D25)/360*O25</f>
        <v>13594452.274131944</v>
      </c>
      <c r="Q25" s="40">
        <f t="shared" ref="Q25:Q33" si="8">+Q24+P25-G25</f>
        <v>0</v>
      </c>
      <c r="R25" s="41"/>
      <c r="S25" s="34">
        <f t="shared" si="0"/>
        <v>51</v>
      </c>
      <c r="T25" s="41">
        <f>+H25/(1+$G$15)^(S25/360)</f>
        <v>34335303.57417357</v>
      </c>
      <c r="U25" s="41">
        <f>+T25*S25</f>
        <v>1751100482.2828522</v>
      </c>
      <c r="V25" s="161"/>
      <c r="W25" s="156"/>
      <c r="X25" s="154"/>
      <c r="Y25" s="12"/>
      <c r="Z25" s="12"/>
      <c r="AA25" s="12"/>
      <c r="AB25" s="12"/>
      <c r="AC25" s="12"/>
      <c r="AD25" s="2"/>
    </row>
    <row r="26" spans="1:30">
      <c r="A26" s="36"/>
      <c r="B26" s="73">
        <v>44977</v>
      </c>
      <c r="C26" s="163">
        <v>0.68559999999999999</v>
      </c>
      <c r="D26" s="78">
        <f>IF(C26+$D$14&lt;$D$15,$D$15,IF(C26+$D$14&gt;$D$16,$D$16,C26+$D$14))</f>
        <v>0.7</v>
      </c>
      <c r="E26" s="48">
        <f>+F26/$I$23</f>
        <v>9.8581929894454412E-2</v>
      </c>
      <c r="F26" s="77">
        <f t="shared" si="3"/>
        <v>25190246.218210358</v>
      </c>
      <c r="G26" s="79">
        <f t="shared" si="1"/>
        <v>12160667.781789642</v>
      </c>
      <c r="H26" s="76">
        <f t="shared" si="2"/>
        <v>37350914</v>
      </c>
      <c r="I26" s="76">
        <f t="shared" si="4"/>
        <v>183278344.32675493</v>
      </c>
      <c r="J26" s="37"/>
      <c r="L26" s="38">
        <f t="shared" si="5"/>
        <v>44977</v>
      </c>
      <c r="M26" s="172">
        <f t="shared" si="6"/>
        <v>37350914</v>
      </c>
      <c r="N26" s="39">
        <v>44957</v>
      </c>
      <c r="O26" s="173">
        <v>30</v>
      </c>
      <c r="P26" s="40">
        <f t="shared" si="7"/>
        <v>12160667.781789642</v>
      </c>
      <c r="Q26" s="40">
        <f t="shared" si="8"/>
        <v>0</v>
      </c>
      <c r="R26" s="41"/>
      <c r="S26" s="34">
        <f t="shared" si="0"/>
        <v>82</v>
      </c>
      <c r="T26" s="41">
        <f>+H26/(1+$G$15)^(S26/360)</f>
        <v>31499556.390331719</v>
      </c>
      <c r="U26" s="41">
        <f>+T26*S26</f>
        <v>2582963624.0072012</v>
      </c>
      <c r="V26" s="161"/>
      <c r="W26" s="156"/>
      <c r="X26" s="154"/>
      <c r="Y26" s="12"/>
      <c r="Z26" s="12"/>
      <c r="AA26" s="12"/>
      <c r="AB26" s="12"/>
      <c r="AC26" s="12"/>
      <c r="AD26" s="2"/>
    </row>
    <row r="27" spans="1:30">
      <c r="A27" s="36"/>
      <c r="B27" s="73">
        <v>45005</v>
      </c>
      <c r="C27" s="163">
        <v>0.68559999999999999</v>
      </c>
      <c r="D27" s="78">
        <f>IF(C27+$D$14&lt;$D$15,$D$15,IF(C27+$D$14&gt;$D$16,$D$16,C27+$D$14))</f>
        <v>0.7</v>
      </c>
      <c r="E27" s="48">
        <f>+F27/$I$23</f>
        <v>9.9529011715465215E-2</v>
      </c>
      <c r="F27" s="77">
        <f t="shared" si="3"/>
        <v>25432250.247605965</v>
      </c>
      <c r="G27" s="79">
        <f t="shared" si="1"/>
        <v>10691236.752394035</v>
      </c>
      <c r="H27" s="76">
        <f t="shared" si="2"/>
        <v>36123487</v>
      </c>
      <c r="I27" s="76">
        <f t="shared" si="4"/>
        <v>157846094.07914895</v>
      </c>
      <c r="J27" s="37"/>
      <c r="K27" s="1"/>
      <c r="L27" s="38">
        <f t="shared" si="5"/>
        <v>45005</v>
      </c>
      <c r="M27" s="172">
        <f t="shared" si="6"/>
        <v>36123487</v>
      </c>
      <c r="N27" s="39">
        <v>44985</v>
      </c>
      <c r="O27" s="173">
        <v>30</v>
      </c>
      <c r="P27" s="40">
        <f t="shared" si="7"/>
        <v>10691236.752394035</v>
      </c>
      <c r="Q27" s="40">
        <f t="shared" si="8"/>
        <v>0</v>
      </c>
      <c r="R27" s="41"/>
      <c r="S27" s="34">
        <f t="shared" si="0"/>
        <v>110</v>
      </c>
      <c r="T27" s="41">
        <f>+H27/(1+$G$15)^(S27/360)</f>
        <v>28742574.873033945</v>
      </c>
      <c r="U27" s="41">
        <f>+T27*S27</f>
        <v>3161683236.0337338</v>
      </c>
      <c r="V27" s="161"/>
      <c r="W27" s="156"/>
      <c r="X27" s="154"/>
      <c r="Y27" s="12"/>
      <c r="Z27" s="12"/>
      <c r="AA27" s="12"/>
      <c r="AB27" s="12"/>
      <c r="AC27" s="12"/>
      <c r="AD27" s="2"/>
    </row>
    <row r="28" spans="1:30">
      <c r="A28" s="36"/>
      <c r="B28" s="73">
        <v>45036</v>
      </c>
      <c r="C28" s="163">
        <v>0.68559999999999999</v>
      </c>
      <c r="D28" s="78">
        <f>IF(C28+$D$14&lt;$D$15,$D$15,IF(C28+$D$14&gt;$D$16,$D$16,C28+$D$14))</f>
        <v>0.7</v>
      </c>
      <c r="E28" s="48">
        <f>+F28/$I$23</f>
        <v>9.8876486849542936E-2</v>
      </c>
      <c r="F28" s="77">
        <f t="shared" si="3"/>
        <v>25265513.178716309</v>
      </c>
      <c r="G28" s="79">
        <f t="shared" si="1"/>
        <v>9207688.8212836888</v>
      </c>
      <c r="H28" s="76">
        <f t="shared" si="2"/>
        <v>34473202</v>
      </c>
      <c r="I28" s="76">
        <f t="shared" si="4"/>
        <v>132580580.90043265</v>
      </c>
      <c r="J28" s="37"/>
      <c r="K28" s="1"/>
      <c r="L28" s="38">
        <f t="shared" si="5"/>
        <v>45036</v>
      </c>
      <c r="M28" s="172">
        <f t="shared" si="6"/>
        <v>34473202</v>
      </c>
      <c r="N28" s="39">
        <v>45016</v>
      </c>
      <c r="O28" s="173">
        <v>30</v>
      </c>
      <c r="P28" s="40">
        <f t="shared" si="7"/>
        <v>9207688.8212836888</v>
      </c>
      <c r="Q28" s="40">
        <f t="shared" si="8"/>
        <v>0</v>
      </c>
      <c r="R28" s="41"/>
      <c r="S28" s="34">
        <f t="shared" si="0"/>
        <v>141</v>
      </c>
      <c r="T28" s="41">
        <f>+H28/(1+$G$15)^(S28/360)</f>
        <v>25718357.614138637</v>
      </c>
      <c r="U28" s="41">
        <f>+T28*S28</f>
        <v>3626288423.5935478</v>
      </c>
      <c r="V28" s="161"/>
      <c r="W28" s="156"/>
      <c r="X28" s="154"/>
      <c r="Y28" s="12"/>
      <c r="Z28" s="12"/>
      <c r="AA28" s="12"/>
      <c r="AB28" s="12"/>
      <c r="AC28" s="12"/>
      <c r="AD28" s="2"/>
    </row>
    <row r="29" spans="1:30">
      <c r="A29" s="36"/>
      <c r="B29" s="73">
        <v>45068</v>
      </c>
      <c r="C29" s="163">
        <v>0.68559999999999999</v>
      </c>
      <c r="D29" s="78">
        <f t="shared" ref="D29:D33" si="9">IF(C29+$D$14&lt;$D$15,$D$15,IF(C29+$D$14&gt;$D$16,$D$16,C29+$D$14))</f>
        <v>0.7</v>
      </c>
      <c r="E29" s="48">
        <f t="shared" ref="E29:E33" si="10">+F29/$I$23</f>
        <v>0.10182483497103267</v>
      </c>
      <c r="F29" s="77">
        <f t="shared" si="3"/>
        <v>26018892.780808095</v>
      </c>
      <c r="G29" s="79">
        <f t="shared" si="1"/>
        <v>7733867.2191919042</v>
      </c>
      <c r="H29" s="76">
        <f t="shared" si="2"/>
        <v>33752760</v>
      </c>
      <c r="I29" s="76">
        <f t="shared" si="4"/>
        <v>106561688.11962456</v>
      </c>
      <c r="J29" s="37"/>
      <c r="K29" s="1"/>
      <c r="L29" s="38">
        <f t="shared" si="5"/>
        <v>45068</v>
      </c>
      <c r="M29" s="172">
        <f t="shared" si="6"/>
        <v>33752760</v>
      </c>
      <c r="N29" s="39">
        <v>45046</v>
      </c>
      <c r="O29" s="173">
        <v>30</v>
      </c>
      <c r="P29" s="40">
        <f t="shared" si="7"/>
        <v>7733867.2191919042</v>
      </c>
      <c r="Q29" s="40">
        <f t="shared" si="8"/>
        <v>0</v>
      </c>
      <c r="R29" s="41"/>
      <c r="S29" s="34">
        <f t="shared" ref="S29:S33" si="11">+L29-$B$23</f>
        <v>173</v>
      </c>
      <c r="T29" s="41">
        <f t="shared" ref="T29:T33" si="12">+H29/(1+$G$15)^(S29/360)</f>
        <v>23561020.632871225</v>
      </c>
      <c r="U29" s="41">
        <f t="shared" ref="U29:U33" si="13">+T29*S29</f>
        <v>4076056569.486722</v>
      </c>
      <c r="V29" s="161"/>
      <c r="W29" s="156"/>
      <c r="X29" s="154"/>
      <c r="Y29" s="12"/>
      <c r="Z29" s="12"/>
      <c r="AA29" s="12"/>
      <c r="AB29" s="12"/>
      <c r="AC29" s="12"/>
      <c r="AD29" s="2"/>
    </row>
    <row r="30" spans="1:30">
      <c r="A30" s="36"/>
      <c r="B30" s="73">
        <v>45098</v>
      </c>
      <c r="C30" s="163">
        <v>0.68559999999999999</v>
      </c>
      <c r="D30" s="78">
        <f t="shared" si="9"/>
        <v>0.7</v>
      </c>
      <c r="E30" s="48">
        <f t="shared" si="10"/>
        <v>0.10280724281034115</v>
      </c>
      <c r="F30" s="77">
        <f t="shared" si="3"/>
        <v>26269923.526355233</v>
      </c>
      <c r="G30" s="79">
        <f t="shared" si="1"/>
        <v>6216098.473644766</v>
      </c>
      <c r="H30" s="76">
        <f t="shared" si="2"/>
        <v>32486022</v>
      </c>
      <c r="I30" s="76">
        <f t="shared" si="4"/>
        <v>80291764.593269318</v>
      </c>
      <c r="J30" s="37"/>
      <c r="K30" s="1"/>
      <c r="L30" s="38">
        <f t="shared" si="5"/>
        <v>45098</v>
      </c>
      <c r="M30" s="172">
        <f t="shared" si="6"/>
        <v>32486022</v>
      </c>
      <c r="N30" s="39">
        <v>45077</v>
      </c>
      <c r="O30" s="173">
        <v>30</v>
      </c>
      <c r="P30" s="40">
        <f t="shared" si="7"/>
        <v>6216098.473644766</v>
      </c>
      <c r="Q30" s="40">
        <f t="shared" si="8"/>
        <v>0</v>
      </c>
      <c r="R30" s="41"/>
      <c r="S30" s="34">
        <f t="shared" si="11"/>
        <v>203</v>
      </c>
      <c r="T30" s="41">
        <f t="shared" si="12"/>
        <v>21306364.072573781</v>
      </c>
      <c r="U30" s="41">
        <f t="shared" si="13"/>
        <v>4325191906.7324772</v>
      </c>
      <c r="V30" s="161"/>
      <c r="W30" s="156"/>
      <c r="X30" s="154"/>
      <c r="Y30" s="12"/>
      <c r="Z30" s="12"/>
      <c r="AA30" s="12"/>
      <c r="AB30" s="12"/>
      <c r="AC30" s="12"/>
      <c r="AD30" s="2"/>
    </row>
    <row r="31" spans="1:30">
      <c r="A31" s="36"/>
      <c r="B31" s="73">
        <v>45127</v>
      </c>
      <c r="C31" s="163">
        <v>0.68559999999999999</v>
      </c>
      <c r="D31" s="78">
        <f t="shared" si="9"/>
        <v>0.7</v>
      </c>
      <c r="E31" s="48">
        <f t="shared" si="10"/>
        <v>0.10798337050656015</v>
      </c>
      <c r="F31" s="77">
        <f t="shared" si="3"/>
        <v>27592558.732059289</v>
      </c>
      <c r="G31" s="79">
        <f t="shared" si="1"/>
        <v>4683686.2679407103</v>
      </c>
      <c r="H31" s="76">
        <f t="shared" si="2"/>
        <v>32276245</v>
      </c>
      <c r="I31" s="76">
        <f t="shared" si="4"/>
        <v>52699205.861210033</v>
      </c>
      <c r="J31" s="37"/>
      <c r="K31" s="1"/>
      <c r="L31" s="38">
        <f t="shared" si="5"/>
        <v>45127</v>
      </c>
      <c r="M31" s="172">
        <f t="shared" si="6"/>
        <v>32276245</v>
      </c>
      <c r="N31" s="39">
        <v>45107</v>
      </c>
      <c r="O31" s="173">
        <v>30</v>
      </c>
      <c r="P31" s="40">
        <f t="shared" si="7"/>
        <v>4683686.2679407103</v>
      </c>
      <c r="Q31" s="40">
        <f t="shared" si="8"/>
        <v>0</v>
      </c>
      <c r="R31" s="41"/>
      <c r="S31" s="34">
        <f t="shared" si="11"/>
        <v>232</v>
      </c>
      <c r="T31" s="41">
        <f t="shared" si="12"/>
        <v>19930868.073473472</v>
      </c>
      <c r="U31" s="41">
        <f t="shared" si="13"/>
        <v>4623961393.045846</v>
      </c>
      <c r="V31" s="161"/>
      <c r="W31" s="156"/>
      <c r="X31" s="154"/>
      <c r="Y31" s="12"/>
      <c r="Z31" s="12"/>
      <c r="AA31" s="12"/>
      <c r="AB31" s="12"/>
      <c r="AC31" s="12"/>
      <c r="AD31" s="2"/>
    </row>
    <row r="32" spans="1:30">
      <c r="A32" s="36"/>
      <c r="B32" s="73">
        <v>45159</v>
      </c>
      <c r="C32" s="163">
        <v>0.68559999999999999</v>
      </c>
      <c r="D32" s="78">
        <f t="shared" si="9"/>
        <v>0.7</v>
      </c>
      <c r="E32" s="48">
        <f t="shared" si="10"/>
        <v>0.11318006253021642</v>
      </c>
      <c r="F32" s="77">
        <f t="shared" si="3"/>
        <v>28920448.658096083</v>
      </c>
      <c r="G32" s="79">
        <f t="shared" si="1"/>
        <v>3074120.3419039184</v>
      </c>
      <c r="H32" s="76">
        <f t="shared" si="2"/>
        <v>31994569</v>
      </c>
      <c r="I32" s="76">
        <f t="shared" si="4"/>
        <v>23778757.203113951</v>
      </c>
      <c r="J32" s="37"/>
      <c r="K32" s="1"/>
      <c r="L32" s="38">
        <f t="shared" si="5"/>
        <v>45159</v>
      </c>
      <c r="M32" s="172">
        <f t="shared" si="6"/>
        <v>31994569</v>
      </c>
      <c r="N32" s="39">
        <v>45138</v>
      </c>
      <c r="O32" s="173">
        <v>30</v>
      </c>
      <c r="P32" s="40">
        <f t="shared" si="7"/>
        <v>3074120.3419039184</v>
      </c>
      <c r="Q32" s="40">
        <f t="shared" si="8"/>
        <v>0</v>
      </c>
      <c r="R32" s="41"/>
      <c r="S32" s="34">
        <f t="shared" si="11"/>
        <v>264</v>
      </c>
      <c r="T32" s="41">
        <f t="shared" si="12"/>
        <v>18485988.423338305</v>
      </c>
      <c r="U32" s="41">
        <f t="shared" si="13"/>
        <v>4880300943.7613125</v>
      </c>
      <c r="V32" s="161"/>
      <c r="W32" s="156"/>
      <c r="X32" s="154"/>
      <c r="Y32" s="12"/>
      <c r="Z32" s="12"/>
      <c r="AA32" s="12"/>
      <c r="AB32" s="12"/>
      <c r="AC32" s="12"/>
      <c r="AD32" s="2"/>
    </row>
    <row r="33" spans="1:30">
      <c r="A33" s="36"/>
      <c r="B33" s="73">
        <v>45189</v>
      </c>
      <c r="C33" s="163">
        <v>0.68559999999999999</v>
      </c>
      <c r="D33" s="78">
        <f t="shared" si="9"/>
        <v>0.7</v>
      </c>
      <c r="E33" s="48">
        <f t="shared" si="10"/>
        <v>9.3058073163255206E-2</v>
      </c>
      <c r="F33" s="77">
        <f t="shared" si="3"/>
        <v>23778757.203113951</v>
      </c>
      <c r="G33" s="79">
        <f t="shared" si="1"/>
        <v>1387094.1701816472</v>
      </c>
      <c r="H33" s="76">
        <f t="shared" si="2"/>
        <v>25165851.373295598</v>
      </c>
      <c r="I33" s="76">
        <f t="shared" si="4"/>
        <v>0</v>
      </c>
      <c r="J33" s="37"/>
      <c r="K33" s="1"/>
      <c r="L33" s="38">
        <f t="shared" si="5"/>
        <v>45189</v>
      </c>
      <c r="M33" s="172">
        <f t="shared" si="6"/>
        <v>27773557</v>
      </c>
      <c r="N33" s="39">
        <v>45169</v>
      </c>
      <c r="O33" s="173">
        <v>30</v>
      </c>
      <c r="P33" s="40">
        <f t="shared" si="7"/>
        <v>1387094.1701816472</v>
      </c>
      <c r="Q33" s="40">
        <f t="shared" si="8"/>
        <v>0</v>
      </c>
      <c r="R33" s="41"/>
      <c r="S33" s="34">
        <f t="shared" si="11"/>
        <v>294</v>
      </c>
      <c r="T33" s="41">
        <f t="shared" si="12"/>
        <v>13661740.801539553</v>
      </c>
      <c r="U33" s="41">
        <f t="shared" si="13"/>
        <v>4016551795.6526289</v>
      </c>
      <c r="V33" s="161"/>
      <c r="W33" s="156"/>
      <c r="X33" s="154"/>
      <c r="Y33" s="12"/>
      <c r="Z33" s="12"/>
      <c r="AA33" s="12"/>
      <c r="AB33" s="12"/>
      <c r="AC33" s="12"/>
      <c r="AD33" s="2"/>
    </row>
    <row r="34" spans="1:30">
      <c r="A34" s="36"/>
      <c r="B34" s="73"/>
      <c r="C34" s="128"/>
      <c r="D34" s="78"/>
      <c r="E34" s="48"/>
      <c r="F34" s="77"/>
      <c r="G34" s="79"/>
      <c r="H34" s="76"/>
      <c r="I34" s="76"/>
      <c r="J34" s="37"/>
      <c r="K34" s="1"/>
      <c r="L34" s="42"/>
      <c r="M34" s="175"/>
      <c r="N34" s="43"/>
      <c r="O34" s="247"/>
      <c r="P34" s="44"/>
      <c r="Q34" s="44"/>
      <c r="R34" s="41"/>
      <c r="S34" s="34"/>
      <c r="T34" s="41"/>
      <c r="U34" s="41"/>
      <c r="V34" s="161"/>
      <c r="W34" s="156"/>
      <c r="X34" s="154"/>
      <c r="Y34" s="12"/>
      <c r="Z34" s="12"/>
      <c r="AA34" s="12"/>
      <c r="AB34" s="12"/>
      <c r="AC34" s="12"/>
      <c r="AD34" s="2"/>
    </row>
    <row r="35" spans="1:30" s="6" customFormat="1">
      <c r="A35" s="54"/>
      <c r="B35" s="67"/>
      <c r="C35" s="67"/>
      <c r="D35" s="68"/>
      <c r="E35" s="69">
        <f>SUM(E24:E34)</f>
        <v>0.99999999999999989</v>
      </c>
      <c r="F35" s="70">
        <f>SUM(F23:F34)</f>
        <v>255526000</v>
      </c>
      <c r="G35" s="71">
        <f>SUM(G23:G34)</f>
        <v>83694521.373295605</v>
      </c>
      <c r="H35" s="70">
        <f>SUM(H24:H34)</f>
        <v>339220521.37329561</v>
      </c>
      <c r="I35" s="72"/>
      <c r="J35" s="57"/>
      <c r="K35" s="9"/>
      <c r="L35" s="45"/>
      <c r="M35" s="172"/>
      <c r="N35" s="174"/>
      <c r="O35" s="173"/>
      <c r="P35" s="41"/>
      <c r="Q35" s="41"/>
      <c r="R35" s="153"/>
      <c r="S35" s="34"/>
      <c r="T35" s="41"/>
      <c r="U35" s="41"/>
      <c r="V35" s="161"/>
      <c r="W35" s="154"/>
      <c r="X35" s="158"/>
      <c r="Y35" s="12"/>
      <c r="Z35" s="12"/>
      <c r="AA35" s="12"/>
      <c r="AB35" s="12"/>
      <c r="AC35" s="12"/>
    </row>
    <row r="36" spans="1:30" s="6" customFormat="1">
      <c r="A36" s="54"/>
      <c r="B36" s="122" t="s">
        <v>35</v>
      </c>
      <c r="C36" s="55"/>
      <c r="D36" s="163">
        <v>0.69187500000000002</v>
      </c>
      <c r="E36" s="56"/>
      <c r="F36" s="63"/>
      <c r="G36" s="63"/>
      <c r="H36" s="63"/>
      <c r="I36" s="62"/>
      <c r="J36" s="57"/>
      <c r="K36" s="9"/>
      <c r="L36" s="45"/>
      <c r="M36" s="153"/>
      <c r="N36" s="153"/>
      <c r="O36" s="153"/>
      <c r="P36" s="10"/>
      <c r="Q36" s="10"/>
      <c r="R36" s="10"/>
      <c r="S36" s="12"/>
      <c r="T36" s="12"/>
      <c r="U36" s="12"/>
      <c r="V36" s="156"/>
      <c r="W36" s="12"/>
      <c r="X36" s="157"/>
      <c r="Y36" s="12"/>
      <c r="Z36" s="12"/>
      <c r="AA36" s="12"/>
      <c r="AB36" s="12"/>
      <c r="AC36" s="12"/>
    </row>
    <row r="37" spans="1:30" s="6" customFormat="1">
      <c r="A37" s="54"/>
      <c r="B37" s="122"/>
      <c r="C37" s="55"/>
      <c r="D37" s="128"/>
      <c r="E37" s="56"/>
      <c r="F37" s="126"/>
      <c r="G37" s="126"/>
      <c r="H37" s="126"/>
      <c r="I37" s="127"/>
      <c r="J37" s="57"/>
      <c r="K37" s="9"/>
      <c r="L37" s="45"/>
      <c r="M37" s="45"/>
      <c r="N37" s="45"/>
      <c r="O37" s="45"/>
      <c r="P37" s="12"/>
      <c r="Q37" s="12"/>
      <c r="R37" s="12"/>
      <c r="S37" s="12"/>
      <c r="T37" s="46">
        <f>SUM(T24:T34)</f>
        <v>253142277.5249137</v>
      </c>
      <c r="U37" s="46">
        <f>SUM(U24:U34)</f>
        <v>33762108435.985111</v>
      </c>
      <c r="V37" s="41"/>
      <c r="W37" s="12"/>
      <c r="X37" s="12"/>
      <c r="Y37" s="12"/>
      <c r="Z37" s="12"/>
      <c r="AA37" s="12"/>
      <c r="AB37" s="12"/>
      <c r="AC37" s="12"/>
    </row>
    <row r="38" spans="1:30" s="6" customFormat="1">
      <c r="A38" s="54"/>
      <c r="B38" s="260"/>
      <c r="C38" s="260"/>
      <c r="D38" s="260"/>
      <c r="E38" s="260"/>
      <c r="F38" s="126"/>
      <c r="G38" s="126"/>
      <c r="H38" s="126"/>
      <c r="I38" s="127"/>
      <c r="J38" s="57"/>
      <c r="K38" s="9"/>
      <c r="L38" s="45"/>
      <c r="M38" s="45"/>
      <c r="N38" s="45"/>
      <c r="O38" s="45"/>
      <c r="P38" s="12"/>
      <c r="Q38" s="12"/>
      <c r="R38" s="12"/>
      <c r="S38" s="12"/>
      <c r="T38" s="12"/>
      <c r="U38" s="47">
        <f>+U37/T37</f>
        <v>133.37206556760287</v>
      </c>
      <c r="V38" s="41"/>
      <c r="W38" s="12"/>
      <c r="X38" s="12"/>
      <c r="Y38" s="12"/>
      <c r="Z38" s="12"/>
      <c r="AA38" s="12"/>
      <c r="AB38" s="12"/>
      <c r="AC38" s="12"/>
    </row>
    <row r="39" spans="1:30">
      <c r="B39" s="122"/>
      <c r="C39" s="55"/>
      <c r="D39" s="128"/>
      <c r="E39" s="56"/>
      <c r="F39" s="126"/>
      <c r="G39" s="126"/>
      <c r="H39" s="126"/>
      <c r="I39" s="127"/>
      <c r="L39" s="45"/>
      <c r="M39" s="45"/>
      <c r="N39" s="45"/>
      <c r="O39" s="45"/>
      <c r="P39" s="12"/>
      <c r="Q39" s="12"/>
      <c r="R39" s="12"/>
      <c r="S39" s="12"/>
      <c r="T39" s="130" t="s">
        <v>5</v>
      </c>
      <c r="U39" s="47">
        <f>+U38/30</f>
        <v>4.4457355189200962</v>
      </c>
      <c r="V39" s="51"/>
      <c r="W39" s="115"/>
      <c r="X39" s="143"/>
      <c r="Y39" s="3"/>
      <c r="AC39" s="12"/>
      <c r="AD39" s="2"/>
    </row>
    <row r="40" spans="1:30" ht="15">
      <c r="B40" s="283" t="s">
        <v>30</v>
      </c>
      <c r="C40" s="283"/>
      <c r="D40" s="283"/>
      <c r="E40" s="283"/>
      <c r="F40" s="283"/>
      <c r="G40" s="283"/>
      <c r="H40" s="283"/>
      <c r="I40" s="142"/>
      <c r="J40" s="6"/>
      <c r="K40" s="6"/>
      <c r="O40" s="50"/>
      <c r="P40" s="50"/>
      <c r="Q40" s="50"/>
      <c r="R40" s="50"/>
      <c r="S40" s="50"/>
      <c r="T40" s="50"/>
      <c r="U40" s="47"/>
      <c r="V40" s="50"/>
      <c r="W40" s="51"/>
      <c r="X40" s="116"/>
    </row>
    <row r="41" spans="1:30">
      <c r="B41" s="293" t="s">
        <v>26</v>
      </c>
      <c r="C41" s="293"/>
      <c r="D41" s="293"/>
      <c r="E41" s="293"/>
      <c r="F41" s="293"/>
      <c r="G41" s="293"/>
      <c r="H41" s="293"/>
      <c r="I41" s="124"/>
      <c r="J41" s="6"/>
      <c r="K41" s="5"/>
      <c r="L41" s="10"/>
      <c r="M41" s="10"/>
      <c r="N41" s="281" t="s">
        <v>25</v>
      </c>
      <c r="O41" s="281"/>
      <c r="P41" s="281"/>
      <c r="Q41" s="281"/>
      <c r="R41" s="26"/>
      <c r="S41" s="26"/>
      <c r="T41" s="50"/>
      <c r="U41" s="50"/>
      <c r="V41" s="50"/>
      <c r="W41" s="3"/>
      <c r="X41" s="143"/>
      <c r="Y41" s="3"/>
      <c r="AC41" s="12"/>
    </row>
    <row r="42" spans="1:30" ht="25.5">
      <c r="B42" s="64" t="s">
        <v>0</v>
      </c>
      <c r="C42" s="65" t="s">
        <v>29</v>
      </c>
      <c r="D42" s="65" t="s">
        <v>6</v>
      </c>
      <c r="E42" s="66" t="s">
        <v>1</v>
      </c>
      <c r="F42" s="59" t="s">
        <v>2</v>
      </c>
      <c r="G42" s="66" t="s">
        <v>4</v>
      </c>
      <c r="H42" s="66" t="s">
        <v>8</v>
      </c>
      <c r="I42" s="186"/>
      <c r="J42" s="6"/>
      <c r="K42" s="5"/>
      <c r="L42" s="28" t="s">
        <v>0</v>
      </c>
      <c r="M42" s="29" t="s">
        <v>20</v>
      </c>
      <c r="N42" s="28" t="s">
        <v>23</v>
      </c>
      <c r="O42" s="28" t="s">
        <v>3</v>
      </c>
      <c r="P42" s="28" t="s">
        <v>21</v>
      </c>
      <c r="Q42" s="28" t="s">
        <v>22</v>
      </c>
      <c r="R42" s="30"/>
      <c r="S42" s="30"/>
      <c r="T42" s="192">
        <f>+P14</f>
        <v>255526000</v>
      </c>
      <c r="U42" s="50"/>
      <c r="V42" s="51"/>
      <c r="W42" s="50"/>
      <c r="X42" s="143"/>
      <c r="Y42" s="3"/>
      <c r="AC42" s="12"/>
    </row>
    <row r="43" spans="1:30">
      <c r="B43" s="233">
        <v>44895</v>
      </c>
      <c r="C43" s="74"/>
      <c r="D43" s="75"/>
      <c r="E43" s="76"/>
      <c r="F43" s="76"/>
      <c r="G43" s="77">
        <v>0</v>
      </c>
      <c r="H43" s="76">
        <f>+P14</f>
        <v>255526000</v>
      </c>
      <c r="I43" s="187"/>
      <c r="J43" s="6"/>
      <c r="K43" s="5"/>
      <c r="L43" s="32">
        <f>+B43</f>
        <v>44895</v>
      </c>
      <c r="M43" s="179"/>
      <c r="N43" s="32">
        <v>44865</v>
      </c>
      <c r="O43" s="171"/>
      <c r="P43" s="178"/>
      <c r="Q43" s="176"/>
      <c r="R43" s="169"/>
      <c r="S43" s="169"/>
      <c r="T43" s="194">
        <f>+D12/T42</f>
        <v>1</v>
      </c>
      <c r="U43" s="196">
        <f>+SUM(U44:U53)</f>
        <v>254105830.95596868</v>
      </c>
      <c r="V43" s="51"/>
      <c r="W43" s="3"/>
      <c r="X43" s="143"/>
      <c r="Y43" s="3"/>
      <c r="AC43" s="12"/>
    </row>
    <row r="44" spans="1:30">
      <c r="B44" s="73">
        <v>44915</v>
      </c>
      <c r="C44" s="78">
        <f>+$D$15</f>
        <v>0.7</v>
      </c>
      <c r="D44" s="48">
        <f t="shared" ref="D44:D51" si="14">+E44/$H$43</f>
        <v>8.8124780518094692E-2</v>
      </c>
      <c r="E44" s="49">
        <f>+IF(H43&gt;0,MIN(M44-F44,H43),0)</f>
        <v>22518172.666666664</v>
      </c>
      <c r="F44" s="79">
        <f>+MIN($M44,Q43+P44)</f>
        <v>14905683.333333334</v>
      </c>
      <c r="G44" s="107">
        <f t="shared" ref="G44:G52" si="15">+E44+F44</f>
        <v>37423856</v>
      </c>
      <c r="H44" s="107">
        <f>+H43-E44</f>
        <v>233007827.33333334</v>
      </c>
      <c r="I44" s="185"/>
      <c r="J44" s="6"/>
      <c r="K44" s="5"/>
      <c r="L44" s="38">
        <f t="shared" ref="L44:L52" si="16">+B44</f>
        <v>44915</v>
      </c>
      <c r="M44" s="195">
        <f>+T44</f>
        <v>37423856</v>
      </c>
      <c r="N44" s="39">
        <v>44895</v>
      </c>
      <c r="O44" s="173">
        <v>30</v>
      </c>
      <c r="P44" s="40">
        <f>+H43*(C44)/360*O44</f>
        <v>14905683.333333334</v>
      </c>
      <c r="Q44" s="236">
        <f>+Q43+P44-F44</f>
        <v>0</v>
      </c>
      <c r="R44" s="244"/>
      <c r="S44" s="169"/>
      <c r="T44" s="273">
        <v>37423856</v>
      </c>
      <c r="U44" s="192">
        <f t="shared" ref="U44:U53" si="17">+G44/(1+$G$12)^((B44-$B$43)/365)</f>
        <v>35921716.915956505</v>
      </c>
      <c r="V44" s="51"/>
      <c r="W44" s="3"/>
      <c r="X44" s="143"/>
      <c r="Y44" s="3"/>
      <c r="AC44" s="12"/>
    </row>
    <row r="45" spans="1:30">
      <c r="B45" s="73">
        <v>44946</v>
      </c>
      <c r="C45" s="78">
        <f>+C44</f>
        <v>0.7</v>
      </c>
      <c r="D45" s="48">
        <f>+E45/$H$43</f>
        <v>9.619957162437047E-2</v>
      </c>
      <c r="E45" s="49">
        <f t="shared" ref="E45:E53" si="18">+IF(H44&gt;0,MIN(M45-F45,H44),0)</f>
        <v>24581491.73888889</v>
      </c>
      <c r="F45" s="79">
        <f t="shared" ref="F45:F53" si="19">+MIN($M45,Q44+P45)</f>
        <v>13592123.26111111</v>
      </c>
      <c r="G45" s="107">
        <f>+E45+F45</f>
        <v>38173615</v>
      </c>
      <c r="H45" s="107">
        <f t="shared" ref="H45:H53" si="20">+H44-E45</f>
        <v>208426335.59444445</v>
      </c>
      <c r="I45" s="185"/>
      <c r="J45" s="6"/>
      <c r="K45" s="5"/>
      <c r="L45" s="38">
        <f>+B45</f>
        <v>44946</v>
      </c>
      <c r="M45" s="195">
        <f>+T45</f>
        <v>38173615</v>
      </c>
      <c r="N45" s="39">
        <v>44926</v>
      </c>
      <c r="O45" s="173">
        <v>30</v>
      </c>
      <c r="P45" s="40">
        <f t="shared" ref="P45:P53" si="21">+H44*(C45)/360*O45</f>
        <v>13592123.26111111</v>
      </c>
      <c r="Q45" s="236">
        <f t="shared" ref="Q45:Q53" si="22">+Q44+P45-F45</f>
        <v>0</v>
      </c>
      <c r="R45" s="244"/>
      <c r="S45" s="169"/>
      <c r="T45" s="273">
        <v>38173615</v>
      </c>
      <c r="U45" s="192">
        <f t="shared" si="17"/>
        <v>34387064.117012911</v>
      </c>
      <c r="V45" s="51"/>
      <c r="W45" s="3"/>
      <c r="X45" s="143"/>
      <c r="Y45" s="3"/>
      <c r="AC45" s="12"/>
    </row>
    <row r="46" spans="1:30">
      <c r="B46" s="73">
        <v>44977</v>
      </c>
      <c r="C46" s="78">
        <f t="shared" ref="C46:C53" si="23">+C45</f>
        <v>0.7</v>
      </c>
      <c r="D46" s="48">
        <f t="shared" si="14"/>
        <v>9.859157616181552E-2</v>
      </c>
      <c r="E46" s="49">
        <f t="shared" si="18"/>
        <v>25192711.090324074</v>
      </c>
      <c r="F46" s="79">
        <f t="shared" si="19"/>
        <v>12158202.909675926</v>
      </c>
      <c r="G46" s="76">
        <f t="shared" si="15"/>
        <v>37350914</v>
      </c>
      <c r="H46" s="107">
        <f t="shared" si="20"/>
        <v>183233624.50412038</v>
      </c>
      <c r="I46" s="185"/>
      <c r="J46" s="6"/>
      <c r="K46" s="5"/>
      <c r="L46" s="38">
        <f t="shared" si="16"/>
        <v>44977</v>
      </c>
      <c r="M46" s="195">
        <f t="shared" ref="M46:M52" si="24">+T46</f>
        <v>37350914</v>
      </c>
      <c r="N46" s="39">
        <v>44957</v>
      </c>
      <c r="O46" s="173">
        <v>30</v>
      </c>
      <c r="P46" s="40">
        <f t="shared" si="21"/>
        <v>12158202.909675926</v>
      </c>
      <c r="Q46" s="236">
        <f t="shared" si="22"/>
        <v>0</v>
      </c>
      <c r="R46" s="244"/>
      <c r="S46" s="169"/>
      <c r="T46" s="273">
        <v>37350914</v>
      </c>
      <c r="U46" s="192">
        <f t="shared" si="17"/>
        <v>31575940.83708366</v>
      </c>
      <c r="V46" s="51"/>
      <c r="W46" s="3"/>
      <c r="X46" s="143"/>
      <c r="Y46" s="3"/>
      <c r="AC46" s="12"/>
    </row>
    <row r="47" spans="1:30">
      <c r="B47" s="73">
        <v>45005</v>
      </c>
      <c r="C47" s="78">
        <f t="shared" si="23"/>
        <v>0.7</v>
      </c>
      <c r="D47" s="48">
        <f t="shared" si="14"/>
        <v>9.9539220681755719E-2</v>
      </c>
      <c r="E47" s="49">
        <f t="shared" si="18"/>
        <v>25434858.903926313</v>
      </c>
      <c r="F47" s="79">
        <f t="shared" si="19"/>
        <v>10688628.096073687</v>
      </c>
      <c r="G47" s="76">
        <f t="shared" si="15"/>
        <v>36123487</v>
      </c>
      <c r="H47" s="107">
        <f t="shared" si="20"/>
        <v>157798765.60019407</v>
      </c>
      <c r="I47" s="185"/>
      <c r="J47" s="6"/>
      <c r="K47" s="5"/>
      <c r="L47" s="38">
        <f t="shared" si="16"/>
        <v>45005</v>
      </c>
      <c r="M47" s="195">
        <f t="shared" si="24"/>
        <v>36123487</v>
      </c>
      <c r="N47" s="39">
        <v>44985</v>
      </c>
      <c r="O47" s="173">
        <v>30</v>
      </c>
      <c r="P47" s="40">
        <f t="shared" si="21"/>
        <v>10688628.096073687</v>
      </c>
      <c r="Q47" s="236">
        <f t="shared" si="22"/>
        <v>0</v>
      </c>
      <c r="R47" s="244"/>
      <c r="S47" s="169"/>
      <c r="T47" s="273">
        <v>36123487</v>
      </c>
      <c r="U47" s="192">
        <f t="shared" si="17"/>
        <v>28836112.139720235</v>
      </c>
      <c r="V47" s="51"/>
      <c r="W47" s="3"/>
      <c r="X47" s="143"/>
      <c r="Y47" s="3"/>
      <c r="AC47" s="12"/>
    </row>
    <row r="48" spans="1:30">
      <c r="B48" s="73">
        <v>45036</v>
      </c>
      <c r="C48" s="78">
        <f t="shared" si="23"/>
        <v>0.7</v>
      </c>
      <c r="D48" s="48">
        <f t="shared" si="14"/>
        <v>9.8887291338867075E-2</v>
      </c>
      <c r="E48" s="49">
        <f t="shared" si="18"/>
        <v>25268274.006655347</v>
      </c>
      <c r="F48" s="79">
        <f t="shared" si="19"/>
        <v>9204927.9933446534</v>
      </c>
      <c r="G48" s="76">
        <f t="shared" si="15"/>
        <v>34473202</v>
      </c>
      <c r="H48" s="107">
        <f t="shared" si="20"/>
        <v>132530491.59353872</v>
      </c>
      <c r="I48" s="185"/>
      <c r="J48" s="6"/>
      <c r="K48" s="5"/>
      <c r="L48" s="38">
        <f t="shared" si="16"/>
        <v>45036</v>
      </c>
      <c r="M48" s="195">
        <f t="shared" si="24"/>
        <v>34473202</v>
      </c>
      <c r="N48" s="39">
        <v>45016</v>
      </c>
      <c r="O48" s="173">
        <v>30</v>
      </c>
      <c r="P48" s="40">
        <f t="shared" si="21"/>
        <v>9204927.9933446534</v>
      </c>
      <c r="Q48" s="236">
        <f t="shared" si="22"/>
        <v>0</v>
      </c>
      <c r="R48" s="244"/>
      <c r="S48" s="169"/>
      <c r="T48" s="273">
        <v>34473202</v>
      </c>
      <c r="U48" s="192">
        <f t="shared" si="17"/>
        <v>25825689.216348991</v>
      </c>
      <c r="V48" s="51"/>
      <c r="W48" s="3"/>
      <c r="X48" s="143"/>
      <c r="Y48" s="3"/>
      <c r="AC48" s="12"/>
    </row>
    <row r="49" spans="2:29">
      <c r="B49" s="73">
        <v>45068</v>
      </c>
      <c r="C49" s="78">
        <f t="shared" si="23"/>
        <v>0.7</v>
      </c>
      <c r="D49" s="48">
        <f t="shared" si="14"/>
        <v>0.10183626972223404</v>
      </c>
      <c r="E49" s="49">
        <f t="shared" si="18"/>
        <v>26021814.657043576</v>
      </c>
      <c r="F49" s="79">
        <f t="shared" si="19"/>
        <v>7730945.3429564256</v>
      </c>
      <c r="G49" s="76">
        <f t="shared" si="15"/>
        <v>33752760</v>
      </c>
      <c r="H49" s="107">
        <f t="shared" si="20"/>
        <v>106508676.93649514</v>
      </c>
      <c r="I49" s="185"/>
      <c r="J49" s="6"/>
      <c r="K49" s="5"/>
      <c r="L49" s="38">
        <f t="shared" si="16"/>
        <v>45068</v>
      </c>
      <c r="M49" s="195">
        <f t="shared" si="24"/>
        <v>33752760</v>
      </c>
      <c r="N49" s="39">
        <v>45046</v>
      </c>
      <c r="O49" s="173">
        <v>30</v>
      </c>
      <c r="P49" s="40">
        <f t="shared" si="21"/>
        <v>7730945.3429564256</v>
      </c>
      <c r="Q49" s="236">
        <f t="shared" si="22"/>
        <v>0</v>
      </c>
      <c r="R49" s="244"/>
      <c r="S49" s="169"/>
      <c r="T49" s="273">
        <v>33752760</v>
      </c>
      <c r="U49" s="192">
        <f t="shared" si="17"/>
        <v>23681721.633806773</v>
      </c>
      <c r="V49" s="4"/>
      <c r="W49" s="3"/>
      <c r="X49" s="143"/>
      <c r="Y49" s="3"/>
      <c r="AC49" s="12"/>
    </row>
    <row r="50" spans="2:29">
      <c r="B50" s="73">
        <v>45098</v>
      </c>
      <c r="C50" s="78">
        <f t="shared" si="23"/>
        <v>0.7</v>
      </c>
      <c r="D50" s="48">
        <f t="shared" si="14"/>
        <v>0.10281934458869593</v>
      </c>
      <c r="E50" s="49">
        <f t="shared" si="18"/>
        <v>26273015.845371116</v>
      </c>
      <c r="F50" s="79">
        <f t="shared" si="19"/>
        <v>6213006.1546288831</v>
      </c>
      <c r="G50" s="76">
        <f t="shared" si="15"/>
        <v>32486022</v>
      </c>
      <c r="H50" s="107">
        <f t="shared" si="20"/>
        <v>80235661.091124028</v>
      </c>
      <c r="I50" s="185"/>
      <c r="J50" s="6"/>
      <c r="K50" s="5"/>
      <c r="L50" s="38">
        <f t="shared" si="16"/>
        <v>45098</v>
      </c>
      <c r="M50" s="195">
        <f t="shared" si="24"/>
        <v>32486022</v>
      </c>
      <c r="N50" s="39">
        <v>45077</v>
      </c>
      <c r="O50" s="173">
        <v>30</v>
      </c>
      <c r="P50" s="40">
        <f t="shared" si="21"/>
        <v>6213006.1546288831</v>
      </c>
      <c r="Q50" s="236">
        <f t="shared" si="22"/>
        <v>0</v>
      </c>
      <c r="R50" s="244"/>
      <c r="S50" s="169"/>
      <c r="T50" s="273">
        <v>32486022</v>
      </c>
      <c r="U50" s="192">
        <f t="shared" si="17"/>
        <v>21434499.329010341</v>
      </c>
      <c r="V50" s="4"/>
      <c r="W50" s="3"/>
      <c r="X50" s="143"/>
      <c r="Y50" s="3"/>
      <c r="AC50" s="12"/>
    </row>
    <row r="51" spans="2:29">
      <c r="B51" s="73">
        <v>45127</v>
      </c>
      <c r="C51" s="78">
        <f t="shared" si="23"/>
        <v>0.7</v>
      </c>
      <c r="D51" s="48">
        <f t="shared" si="14"/>
        <v>0.10799617822198562</v>
      </c>
      <c r="E51" s="49">
        <f t="shared" si="18"/>
        <v>27595831.436351098</v>
      </c>
      <c r="F51" s="79">
        <f t="shared" si="19"/>
        <v>4680413.5636489009</v>
      </c>
      <c r="G51" s="76">
        <f t="shared" si="15"/>
        <v>32276245</v>
      </c>
      <c r="H51" s="107">
        <f t="shared" si="20"/>
        <v>52639829.65477293</v>
      </c>
      <c r="I51" s="185"/>
      <c r="J51" s="6"/>
      <c r="K51" s="5"/>
      <c r="L51" s="38">
        <f t="shared" si="16"/>
        <v>45127</v>
      </c>
      <c r="M51" s="195">
        <f t="shared" si="24"/>
        <v>32276245</v>
      </c>
      <c r="N51" s="39">
        <v>45107</v>
      </c>
      <c r="O51" s="173">
        <v>30</v>
      </c>
      <c r="P51" s="40">
        <f t="shared" si="21"/>
        <v>4680413.5636489009</v>
      </c>
      <c r="Q51" s="236">
        <f t="shared" si="22"/>
        <v>0</v>
      </c>
      <c r="R51" s="244"/>
      <c r="S51" s="169"/>
      <c r="T51" s="273">
        <v>32276245</v>
      </c>
      <c r="U51" s="192">
        <f t="shared" si="17"/>
        <v>20067913.219896208</v>
      </c>
      <c r="V51" s="4"/>
      <c r="W51" s="3"/>
      <c r="X51" s="143"/>
      <c r="Y51" s="3"/>
      <c r="AC51" s="12"/>
    </row>
    <row r="52" spans="2:29">
      <c r="B52" s="73">
        <v>45159</v>
      </c>
      <c r="C52" s="78">
        <f t="shared" si="23"/>
        <v>0.7</v>
      </c>
      <c r="D52" s="48">
        <f>+E52/$H$43</f>
        <v>0.11319361736237504</v>
      </c>
      <c r="E52" s="49">
        <f t="shared" si="18"/>
        <v>28923912.270138245</v>
      </c>
      <c r="F52" s="79">
        <f t="shared" si="19"/>
        <v>3070656.7298617545</v>
      </c>
      <c r="G52" s="76">
        <f t="shared" si="15"/>
        <v>31994569</v>
      </c>
      <c r="H52" s="107">
        <f t="shared" si="20"/>
        <v>23715917.384634685</v>
      </c>
      <c r="I52" s="185"/>
      <c r="J52" s="6"/>
      <c r="K52" s="5"/>
      <c r="L52" s="38">
        <f t="shared" si="16"/>
        <v>45159</v>
      </c>
      <c r="M52" s="195">
        <f t="shared" si="24"/>
        <v>31994569</v>
      </c>
      <c r="N52" s="39">
        <v>45138</v>
      </c>
      <c r="O52" s="173">
        <v>30</v>
      </c>
      <c r="P52" s="40">
        <f t="shared" si="21"/>
        <v>3070656.7298617545</v>
      </c>
      <c r="Q52" s="236">
        <f t="shared" si="22"/>
        <v>0</v>
      </c>
      <c r="R52" s="244"/>
      <c r="S52" s="169"/>
      <c r="T52" s="273">
        <v>31994569</v>
      </c>
      <c r="U52" s="192">
        <f t="shared" si="17"/>
        <v>18630699.426917873</v>
      </c>
      <c r="V52" s="4"/>
      <c r="W52" s="3"/>
      <c r="X52" s="143"/>
      <c r="Y52" s="3"/>
      <c r="AC52" s="12"/>
    </row>
    <row r="53" spans="2:29">
      <c r="B53" s="73">
        <v>45189</v>
      </c>
      <c r="C53" s="78">
        <f t="shared" si="23"/>
        <v>0.7</v>
      </c>
      <c r="D53" s="48">
        <f>+E53/$H$43</f>
        <v>9.2812149779805911E-2</v>
      </c>
      <c r="E53" s="49">
        <f t="shared" si="18"/>
        <v>23715917.384634685</v>
      </c>
      <c r="F53" s="79">
        <f t="shared" si="19"/>
        <v>1383428.5141036899</v>
      </c>
      <c r="G53" s="76">
        <f t="shared" ref="G53:G54" si="25">+E53+F53</f>
        <v>25099345.898738373</v>
      </c>
      <c r="H53" s="107">
        <f t="shared" si="20"/>
        <v>0</v>
      </c>
      <c r="I53" s="185"/>
      <c r="J53" s="6"/>
      <c r="K53" s="5"/>
      <c r="L53" s="42">
        <f>+B53</f>
        <v>45189</v>
      </c>
      <c r="M53" s="180">
        <f>+T53</f>
        <v>27773557</v>
      </c>
      <c r="N53" s="43">
        <v>45169</v>
      </c>
      <c r="O53" s="247">
        <v>30</v>
      </c>
      <c r="P53" s="44">
        <f t="shared" si="21"/>
        <v>1383428.5141036899</v>
      </c>
      <c r="Q53" s="237">
        <f t="shared" si="22"/>
        <v>0</v>
      </c>
      <c r="R53" s="244"/>
      <c r="S53" s="169"/>
      <c r="T53" s="273">
        <v>27773557</v>
      </c>
      <c r="U53" s="192">
        <f t="shared" si="17"/>
        <v>13744474.120215189</v>
      </c>
      <c r="V53" s="4"/>
      <c r="W53" s="3"/>
      <c r="X53" s="143"/>
      <c r="Y53" s="3"/>
      <c r="AC53" s="12"/>
    </row>
    <row r="54" spans="2:29">
      <c r="B54" s="67"/>
      <c r="C54" s="68"/>
      <c r="D54" s="125">
        <f>SUM(D44:D53)</f>
        <v>0.99999999999999989</v>
      </c>
      <c r="E54" s="70">
        <f>SUM(E44:E53)</f>
        <v>255526000</v>
      </c>
      <c r="F54" s="71">
        <f>SUM(F44:F53)</f>
        <v>83628015.898738369</v>
      </c>
      <c r="G54" s="70">
        <f t="shared" si="25"/>
        <v>339154015.89873838</v>
      </c>
      <c r="H54" s="72"/>
      <c r="I54" s="242"/>
      <c r="J54" s="6"/>
      <c r="K54" s="6"/>
      <c r="L54" s="174"/>
      <c r="M54" s="172"/>
      <c r="N54" s="174"/>
      <c r="O54" s="173"/>
      <c r="P54" s="41"/>
      <c r="Q54" s="169"/>
      <c r="R54" s="169"/>
      <c r="S54" s="169"/>
      <c r="T54" s="273">
        <v>23886060</v>
      </c>
      <c r="U54" s="192">
        <v>0</v>
      </c>
      <c r="V54" s="4"/>
    </row>
    <row r="55" spans="2:29">
      <c r="E55" s="129"/>
      <c r="F55" s="52"/>
      <c r="G55" s="52"/>
      <c r="I55" s="186"/>
      <c r="L55" s="174"/>
      <c r="M55" s="172"/>
      <c r="N55" s="191"/>
      <c r="O55" s="173"/>
      <c r="P55" s="41"/>
      <c r="Q55" s="169"/>
      <c r="R55" s="169"/>
      <c r="S55" s="169"/>
      <c r="T55" s="273">
        <v>19216377</v>
      </c>
      <c r="U55" s="192">
        <f t="shared" ref="U55:U86" si="26">+G55/(1+$G$12)^((B55-$B$43)/365)</f>
        <v>0</v>
      </c>
    </row>
    <row r="56" spans="2:29">
      <c r="D56" s="53"/>
      <c r="E56" s="1"/>
      <c r="L56" s="4"/>
      <c r="M56" s="172"/>
      <c r="N56" s="174"/>
      <c r="O56" s="173"/>
      <c r="P56" s="41"/>
      <c r="Q56" s="169"/>
      <c r="R56" s="169"/>
      <c r="S56" s="169"/>
      <c r="T56" s="273">
        <v>14594299</v>
      </c>
      <c r="U56" s="192">
        <f t="shared" si="26"/>
        <v>0</v>
      </c>
    </row>
    <row r="57" spans="2:29">
      <c r="L57" s="4"/>
      <c r="M57" s="4"/>
      <c r="N57" s="4"/>
      <c r="O57" s="4"/>
      <c r="P57" s="4"/>
      <c r="Q57" s="4"/>
      <c r="R57" s="4"/>
      <c r="S57" s="4"/>
      <c r="T57" s="273">
        <v>15304496</v>
      </c>
      <c r="U57" s="192">
        <f t="shared" si="26"/>
        <v>0</v>
      </c>
    </row>
    <row r="58" spans="2:29">
      <c r="L58" s="4"/>
      <c r="M58" s="4"/>
      <c r="N58" s="4"/>
      <c r="O58" s="4"/>
      <c r="P58" s="4"/>
      <c r="Q58" s="4"/>
      <c r="R58" s="4"/>
      <c r="S58" s="4"/>
      <c r="T58" s="273">
        <v>13325743</v>
      </c>
      <c r="U58" s="192">
        <f t="shared" si="26"/>
        <v>0</v>
      </c>
    </row>
    <row r="59" spans="2:29">
      <c r="L59" s="4"/>
      <c r="M59" s="4"/>
      <c r="N59" s="4"/>
      <c r="O59" s="4"/>
      <c r="P59" s="4"/>
      <c r="Q59" s="4"/>
      <c r="R59" s="4"/>
      <c r="S59" s="4"/>
      <c r="T59" s="273">
        <v>12404626</v>
      </c>
      <c r="U59" s="192">
        <f t="shared" si="26"/>
        <v>0</v>
      </c>
    </row>
    <row r="60" spans="2:29">
      <c r="L60" s="4"/>
      <c r="M60" s="4"/>
      <c r="N60" s="4"/>
      <c r="O60" s="4"/>
      <c r="P60" s="4"/>
      <c r="Q60" s="4"/>
      <c r="R60" s="4"/>
      <c r="S60" s="4"/>
      <c r="T60" s="273">
        <v>11166573</v>
      </c>
      <c r="U60" s="192">
        <f t="shared" si="26"/>
        <v>0</v>
      </c>
    </row>
    <row r="61" spans="2:29">
      <c r="L61" s="4"/>
      <c r="M61" s="4"/>
      <c r="N61" s="4"/>
      <c r="O61" s="4"/>
      <c r="P61" s="4"/>
      <c r="Q61" s="4"/>
      <c r="R61" s="4"/>
      <c r="S61" s="4"/>
      <c r="T61" s="273">
        <v>9771002</v>
      </c>
      <c r="U61" s="192">
        <f t="shared" si="26"/>
        <v>0</v>
      </c>
    </row>
    <row r="62" spans="2:29">
      <c r="L62" s="4"/>
      <c r="M62" s="4"/>
      <c r="N62" s="4"/>
      <c r="O62" s="4"/>
      <c r="P62" s="4"/>
      <c r="Q62" s="4"/>
      <c r="R62" s="4"/>
      <c r="S62" s="4"/>
      <c r="T62" s="273">
        <v>9349666</v>
      </c>
      <c r="U62" s="192">
        <f t="shared" si="26"/>
        <v>0</v>
      </c>
    </row>
    <row r="63" spans="2:29">
      <c r="L63" s="4"/>
      <c r="M63" s="4"/>
      <c r="N63" s="4"/>
      <c r="O63" s="4"/>
      <c r="P63" s="4"/>
      <c r="Q63" s="4"/>
      <c r="R63" s="4"/>
      <c r="S63" s="4"/>
      <c r="T63" s="273">
        <v>7536091</v>
      </c>
      <c r="U63" s="192">
        <f t="shared" si="26"/>
        <v>0</v>
      </c>
    </row>
    <row r="64" spans="2:29">
      <c r="L64" s="4"/>
      <c r="M64" s="4"/>
      <c r="N64" s="193"/>
      <c r="O64" s="4"/>
      <c r="P64" s="4"/>
      <c r="Q64" s="4"/>
      <c r="R64" s="4"/>
      <c r="S64" s="4"/>
      <c r="T64" s="273">
        <v>6183719</v>
      </c>
      <c r="U64" s="192">
        <f t="shared" si="26"/>
        <v>0</v>
      </c>
    </row>
    <row r="65" spans="6:21">
      <c r="L65" s="4"/>
      <c r="M65" s="191"/>
      <c r="N65" s="191"/>
      <c r="O65" s="4"/>
      <c r="P65" s="4"/>
      <c r="Q65" s="4"/>
      <c r="R65" s="4"/>
      <c r="S65" s="4"/>
      <c r="T65" s="273">
        <v>6006433</v>
      </c>
      <c r="U65" s="192">
        <f t="shared" si="26"/>
        <v>0</v>
      </c>
    </row>
    <row r="66" spans="6:21">
      <c r="M66" s="192"/>
      <c r="N66" s="191"/>
      <c r="T66" s="273">
        <v>4526992</v>
      </c>
      <c r="U66" s="192">
        <f t="shared" si="26"/>
        <v>0</v>
      </c>
    </row>
    <row r="67" spans="6:21">
      <c r="M67" s="192"/>
      <c r="N67" s="191"/>
      <c r="T67" s="273">
        <v>3960996</v>
      </c>
      <c r="U67" s="192">
        <f t="shared" si="26"/>
        <v>0</v>
      </c>
    </row>
    <row r="68" spans="6:21">
      <c r="M68" s="192"/>
      <c r="N68" s="191"/>
      <c r="T68" s="273">
        <v>3777167</v>
      </c>
      <c r="U68" s="192">
        <f t="shared" si="26"/>
        <v>0</v>
      </c>
    </row>
    <row r="69" spans="6:21">
      <c r="M69" s="192"/>
      <c r="N69" s="191"/>
      <c r="T69" s="273">
        <v>3507109</v>
      </c>
      <c r="U69" s="192">
        <f t="shared" si="26"/>
        <v>0</v>
      </c>
    </row>
    <row r="70" spans="6:21">
      <c r="M70" s="192"/>
      <c r="N70" s="191"/>
      <c r="T70" s="273">
        <v>3308981</v>
      </c>
      <c r="U70" s="192">
        <f t="shared" si="26"/>
        <v>0</v>
      </c>
    </row>
    <row r="71" spans="6:21">
      <c r="M71" s="192"/>
      <c r="N71" s="191"/>
      <c r="T71" s="273">
        <v>3189292</v>
      </c>
      <c r="U71" s="192">
        <f t="shared" si="26"/>
        <v>0</v>
      </c>
    </row>
    <row r="72" spans="6:21">
      <c r="M72" s="192"/>
      <c r="N72" s="191"/>
      <c r="T72" s="273">
        <v>3130927</v>
      </c>
      <c r="U72" s="192">
        <f t="shared" si="26"/>
        <v>0</v>
      </c>
    </row>
    <row r="73" spans="6:21">
      <c r="M73" s="192"/>
      <c r="N73" s="191"/>
      <c r="T73" s="273">
        <v>3074470</v>
      </c>
      <c r="U73" s="192">
        <f t="shared" si="26"/>
        <v>0</v>
      </c>
    </row>
    <row r="74" spans="6:21">
      <c r="M74" s="192"/>
      <c r="N74" s="191"/>
      <c r="T74" s="273">
        <v>3375133</v>
      </c>
      <c r="U74" s="192">
        <f t="shared" si="26"/>
        <v>0</v>
      </c>
    </row>
    <row r="75" spans="6:21">
      <c r="M75" s="192"/>
      <c r="N75" s="191"/>
      <c r="T75" s="273">
        <v>3158638</v>
      </c>
      <c r="U75" s="192">
        <f t="shared" si="26"/>
        <v>0</v>
      </c>
    </row>
    <row r="76" spans="6:21">
      <c r="M76" s="192"/>
      <c r="N76" s="191"/>
      <c r="T76" s="273">
        <v>2583326</v>
      </c>
      <c r="U76" s="192">
        <f t="shared" si="26"/>
        <v>0</v>
      </c>
    </row>
    <row r="77" spans="6:21">
      <c r="M77" s="192"/>
      <c r="N77" s="191"/>
      <c r="T77" s="273">
        <v>1760304</v>
      </c>
      <c r="U77" s="192">
        <f t="shared" si="26"/>
        <v>0</v>
      </c>
    </row>
    <row r="78" spans="6:21">
      <c r="T78" s="273">
        <v>679265</v>
      </c>
      <c r="U78" s="192">
        <f t="shared" si="26"/>
        <v>0</v>
      </c>
    </row>
    <row r="79" spans="6:21">
      <c r="T79" s="273">
        <v>68088</v>
      </c>
      <c r="U79" s="192">
        <f t="shared" si="26"/>
        <v>0</v>
      </c>
    </row>
    <row r="80" spans="6:21">
      <c r="F80" s="187"/>
      <c r="T80" s="273">
        <v>55263</v>
      </c>
      <c r="U80" s="192">
        <f t="shared" si="26"/>
        <v>0</v>
      </c>
    </row>
    <row r="81" spans="6:21">
      <c r="F81" s="187"/>
      <c r="T81" s="273">
        <v>55406</v>
      </c>
      <c r="U81" s="192">
        <f t="shared" si="26"/>
        <v>0</v>
      </c>
    </row>
    <row r="82" spans="6:21">
      <c r="F82" s="187"/>
      <c r="T82" s="273">
        <v>55597</v>
      </c>
      <c r="U82" s="192">
        <f t="shared" si="26"/>
        <v>0</v>
      </c>
    </row>
    <row r="83" spans="6:21">
      <c r="F83" s="187"/>
      <c r="T83" s="273">
        <v>55859</v>
      </c>
      <c r="U83" s="192">
        <f t="shared" si="26"/>
        <v>0</v>
      </c>
    </row>
    <row r="84" spans="6:21">
      <c r="F84" s="187"/>
      <c r="T84" s="273">
        <v>31401</v>
      </c>
      <c r="U84" s="192">
        <f t="shared" si="26"/>
        <v>0</v>
      </c>
    </row>
    <row r="85" spans="6:21">
      <c r="F85" s="187"/>
      <c r="T85" s="273">
        <v>24111</v>
      </c>
      <c r="U85" s="192">
        <f t="shared" si="26"/>
        <v>0</v>
      </c>
    </row>
    <row r="86" spans="6:21">
      <c r="F86" s="187"/>
      <c r="T86" s="273">
        <v>13235</v>
      </c>
      <c r="U86" s="192">
        <f t="shared" si="26"/>
        <v>0</v>
      </c>
    </row>
    <row r="87" spans="6:21">
      <c r="F87" s="187"/>
      <c r="T87" s="274">
        <v>13339</v>
      </c>
    </row>
    <row r="88" spans="6:21">
      <c r="F88" s="187"/>
      <c r="T88" s="274">
        <v>8280</v>
      </c>
    </row>
    <row r="89" spans="6:21">
      <c r="F89" s="187"/>
      <c r="T89" s="274">
        <v>1878</v>
      </c>
    </row>
    <row r="90" spans="6:21">
      <c r="F90" s="187"/>
    </row>
    <row r="91" spans="6:21">
      <c r="F91" s="187"/>
    </row>
    <row r="92" spans="6:21">
      <c r="F92" s="187"/>
    </row>
    <row r="93" spans="6:21">
      <c r="F93" s="259"/>
    </row>
    <row r="94" spans="6:21">
      <c r="F94" s="187"/>
    </row>
    <row r="95" spans="6:21">
      <c r="F95" s="187"/>
    </row>
    <row r="96" spans="6:21">
      <c r="F96" s="187"/>
    </row>
    <row r="97" spans="6:6">
      <c r="F97" s="187"/>
    </row>
    <row r="98" spans="6:6">
      <c r="F98" s="187"/>
    </row>
    <row r="99" spans="6:6">
      <c r="F99" s="187"/>
    </row>
    <row r="100" spans="6:6">
      <c r="F100" s="187"/>
    </row>
    <row r="101" spans="6:6">
      <c r="F101" s="187"/>
    </row>
  </sheetData>
  <sheetProtection algorithmName="SHA-512" hashValue="wkoJqbAGXDMzF+KOhC7wmLL1/CVOGFWs83YQ0pDAxn7miYZKHWTc53WRy8OtLHLjKKntkuaQSbVEl0FVbWgmtw==" saltValue="ZZxSNKliJsEcgLQOu39XvA==" spinCount="100000" sheet="1" objects="1" scenarios="1"/>
  <mergeCells count="10">
    <mergeCell ref="L1:O1"/>
    <mergeCell ref="B21:I21"/>
    <mergeCell ref="N41:Q41"/>
    <mergeCell ref="B8:E8"/>
    <mergeCell ref="B20:I20"/>
    <mergeCell ref="N21:Q21"/>
    <mergeCell ref="B9:E10"/>
    <mergeCell ref="B41:H41"/>
    <mergeCell ref="B40:H40"/>
    <mergeCell ref="A6:J6"/>
  </mergeCells>
  <phoneticPr fontId="4" type="noConversion"/>
  <conditionalFormatting sqref="E54:G54 F35:H39 O35 E44:E53 F24:F34">
    <cfRule type="cellIs" dxfId="4" priority="6" stopIfTrue="1" operator="equal">
      <formula>0</formula>
    </cfRule>
  </conditionalFormatting>
  <printOptions horizontalCentered="1"/>
  <pageMargins left="0.78740157480314965" right="0.78740157480314965" top="0.77" bottom="3.937007874015748E-2" header="0" footer="0"/>
  <pageSetup paperSize="9" orientation="landscape" r:id="rId1"/>
  <headerFooter alignWithMargins="0"/>
  <ignoredErrors>
    <ignoredError sqref="C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1"/>
  <sheetViews>
    <sheetView workbookViewId="0">
      <selection activeCell="E28" sqref="E28"/>
    </sheetView>
  </sheetViews>
  <sheetFormatPr baseColWidth="10" defaultColWidth="0" defaultRowHeight="12.75" customHeight="1" zeroHeight="1"/>
  <cols>
    <col min="1" max="1" width="12.85546875" style="2" customWidth="1"/>
    <col min="2" max="2" width="12.42578125" style="2" customWidth="1"/>
    <col min="3" max="3" width="15.140625" style="2" customWidth="1"/>
    <col min="4" max="4" width="12.28515625" style="2" bestFit="1" customWidth="1"/>
    <col min="5" max="5" width="12.7109375" style="2" customWidth="1"/>
    <col min="6" max="6" width="16.85546875" style="2" customWidth="1"/>
    <col min="7" max="7" width="14" style="2" customWidth="1"/>
    <col min="8" max="8" width="12.85546875" style="2" customWidth="1"/>
    <col min="9" max="9" width="16.42578125" style="2" bestFit="1" customWidth="1"/>
    <col min="10" max="10" width="13.85546875" style="2" customWidth="1"/>
    <col min="11" max="11" width="1.140625" style="2" customWidth="1"/>
    <col min="12" max="12" width="10.42578125" style="3" customWidth="1"/>
    <col min="13" max="13" width="16.42578125" style="3" customWidth="1"/>
    <col min="14" max="14" width="18.42578125" style="3" customWidth="1"/>
    <col min="15" max="15" width="12.7109375" style="3" customWidth="1"/>
    <col min="16" max="16" width="18" style="3" customWidth="1"/>
    <col min="17" max="19" width="16.42578125" style="3" customWidth="1"/>
    <col min="20" max="20" width="14.85546875" style="3" bestFit="1" customWidth="1"/>
    <col min="21" max="21" width="17.42578125" style="3" bestFit="1" customWidth="1"/>
    <col min="22" max="22" width="17.140625" style="3" customWidth="1"/>
    <col min="23" max="23" width="12.140625" style="3" customWidth="1"/>
    <col min="24" max="24" width="11.7109375" style="3" customWidth="1"/>
    <col min="25" max="25" width="13.85546875" style="143" customWidth="1"/>
    <col min="26" max="26" width="14.42578125" style="3" customWidth="1"/>
    <col min="27" max="28" width="11.7109375" style="3" customWidth="1"/>
    <col min="29" max="29" width="12.28515625" style="3" customWidth="1"/>
    <col min="30" max="30" width="12.5703125" style="12" customWidth="1"/>
    <col min="31" max="16384" width="11.42578125" style="2" hidden="1"/>
  </cols>
  <sheetData>
    <row r="1" spans="1:30">
      <c r="L1" s="277"/>
      <c r="M1" s="277"/>
      <c r="N1" s="277"/>
      <c r="O1" s="277"/>
    </row>
    <row r="2" spans="1:30">
      <c r="L2" s="190"/>
      <c r="M2" s="190"/>
      <c r="N2" s="190"/>
      <c r="O2" s="190"/>
    </row>
    <row r="3" spans="1:30">
      <c r="L3" s="190"/>
      <c r="M3" s="190"/>
      <c r="N3" s="190"/>
      <c r="O3" s="190"/>
    </row>
    <row r="4" spans="1:30">
      <c r="L4" s="190"/>
      <c r="M4" s="190"/>
      <c r="N4" s="190"/>
      <c r="O4" s="190"/>
    </row>
    <row r="5" spans="1:30">
      <c r="L5" s="190"/>
      <c r="M5" s="190"/>
      <c r="N5" s="190"/>
      <c r="O5" s="190"/>
    </row>
    <row r="6" spans="1:30" ht="23.25">
      <c r="A6" s="294" t="s">
        <v>42</v>
      </c>
      <c r="B6" s="296"/>
      <c r="C6" s="296"/>
      <c r="D6" s="296"/>
      <c r="E6" s="296"/>
      <c r="F6" s="296"/>
      <c r="G6" s="296"/>
      <c r="H6" s="296"/>
      <c r="I6" s="296"/>
      <c r="J6" s="296"/>
      <c r="M6" s="7"/>
    </row>
    <row r="7" spans="1:30" ht="12" customHeight="1">
      <c r="A7" s="189"/>
      <c r="B7" s="198"/>
      <c r="C7" s="198"/>
      <c r="D7" s="198"/>
      <c r="E7" s="198"/>
      <c r="F7" s="198"/>
      <c r="G7" s="198"/>
      <c r="H7" s="198"/>
      <c r="I7" s="198"/>
      <c r="J7" s="198"/>
      <c r="M7" s="7"/>
    </row>
    <row r="8" spans="1:30" ht="13.5" customHeight="1">
      <c r="A8" s="189"/>
      <c r="B8" s="282" t="s">
        <v>31</v>
      </c>
      <c r="C8" s="282"/>
      <c r="D8" s="282"/>
      <c r="E8" s="282"/>
      <c r="F8" s="198"/>
      <c r="G8" s="198"/>
      <c r="H8" s="198"/>
      <c r="I8" s="198"/>
      <c r="J8" s="198"/>
      <c r="M8" s="7"/>
    </row>
    <row r="9" spans="1:30" ht="23.25" customHeight="1">
      <c r="A9" s="189"/>
      <c r="B9" s="287" t="s">
        <v>40</v>
      </c>
      <c r="C9" s="288"/>
      <c r="D9" s="288"/>
      <c r="E9" s="289"/>
      <c r="F9" s="198"/>
      <c r="G9" s="198"/>
      <c r="H9" s="198"/>
      <c r="I9" s="198"/>
      <c r="J9" s="198"/>
      <c r="M9" s="7"/>
    </row>
    <row r="10" spans="1:30" ht="15.75" customHeight="1">
      <c r="A10" s="189"/>
      <c r="B10" s="290"/>
      <c r="C10" s="297"/>
      <c r="D10" s="297"/>
      <c r="E10" s="292"/>
      <c r="F10" s="198"/>
      <c r="G10" s="198"/>
      <c r="H10" s="198"/>
      <c r="I10" s="198"/>
      <c r="J10" s="198"/>
      <c r="M10" s="7"/>
    </row>
    <row r="11" spans="1:30" ht="15" customHeight="1">
      <c r="A11" s="189"/>
      <c r="B11" s="182"/>
      <c r="C11" s="182"/>
      <c r="D11" s="182"/>
      <c r="E11" s="182"/>
      <c r="F11" s="198"/>
      <c r="G11" s="198"/>
      <c r="H11" s="198"/>
      <c r="I11" s="198"/>
      <c r="J11" s="198"/>
      <c r="M11" s="7"/>
    </row>
    <row r="12" spans="1:30">
      <c r="A12" s="8"/>
      <c r="C12" s="199" t="s">
        <v>12</v>
      </c>
      <c r="D12" s="80">
        <f>+'VDF A'!D12</f>
        <v>255526000</v>
      </c>
      <c r="E12" s="6"/>
      <c r="F12" s="199" t="s">
        <v>13</v>
      </c>
      <c r="G12" s="81">
        <f>+'VDF A'!G12</f>
        <v>1.1120000000000001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200"/>
      <c r="Y12" s="12"/>
      <c r="Z12" s="12"/>
      <c r="AA12" s="12"/>
      <c r="AB12" s="12"/>
      <c r="AC12" s="12"/>
      <c r="AD12" s="2"/>
    </row>
    <row r="13" spans="1:30">
      <c r="A13" s="8"/>
      <c r="C13" s="201"/>
      <c r="D13" s="162"/>
      <c r="E13" s="6"/>
      <c r="F13" s="118" t="s">
        <v>7</v>
      </c>
      <c r="G13" s="119">
        <f>+XNPV(G12,G42:G52,B42:B52)/H42</f>
        <v>0.99444217400956725</v>
      </c>
      <c r="I13" s="148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202"/>
      <c r="Y13" s="12"/>
      <c r="Z13" s="12"/>
      <c r="AA13" s="12"/>
      <c r="AB13" s="12"/>
      <c r="AC13" s="12"/>
      <c r="AD13" s="2"/>
    </row>
    <row r="14" spans="1:30">
      <c r="A14" s="8"/>
      <c r="C14" s="199" t="s">
        <v>33</v>
      </c>
      <c r="D14" s="23">
        <v>0.01</v>
      </c>
      <c r="E14" s="6"/>
      <c r="F14" s="204" t="s">
        <v>10</v>
      </c>
      <c r="G14" s="83">
        <f>+U36</f>
        <v>4.4457355189200962</v>
      </c>
      <c r="H14" s="187"/>
      <c r="I14" s="149"/>
      <c r="J14" s="11"/>
      <c r="L14" s="12"/>
      <c r="M14" s="12"/>
      <c r="N14" s="12"/>
      <c r="O14" s="13" t="s">
        <v>12</v>
      </c>
      <c r="P14" s="14">
        <f>+D12</f>
        <v>255526000</v>
      </c>
      <c r="Q14" s="15"/>
      <c r="R14" s="15"/>
      <c r="S14" s="15"/>
      <c r="T14" s="15"/>
      <c r="U14" s="15"/>
      <c r="V14" s="15"/>
      <c r="W14" s="12"/>
      <c r="X14" s="202"/>
      <c r="Y14" s="45"/>
      <c r="Z14" s="12"/>
      <c r="AA14" s="12"/>
      <c r="AB14" s="12"/>
      <c r="AC14" s="12"/>
      <c r="AD14" s="2"/>
    </row>
    <row r="15" spans="1:30">
      <c r="A15" s="8"/>
      <c r="C15" s="199" t="s">
        <v>16</v>
      </c>
      <c r="D15" s="23">
        <v>0.7</v>
      </c>
      <c r="E15" s="6"/>
      <c r="F15" s="199" t="s">
        <v>11</v>
      </c>
      <c r="G15" s="25">
        <f>+XIRR(H23:H33,B23:B33)</f>
        <v>1.1128272175788878</v>
      </c>
      <c r="H15" s="25"/>
      <c r="I15" s="205"/>
      <c r="L15" s="12"/>
      <c r="M15" s="12"/>
      <c r="N15" s="12"/>
      <c r="O15" s="18" t="s">
        <v>13</v>
      </c>
      <c r="P15" s="19">
        <f>+G12</f>
        <v>1.1120000000000001</v>
      </c>
      <c r="Q15" s="20"/>
      <c r="R15" s="20"/>
      <c r="S15" s="20"/>
      <c r="T15" s="20"/>
      <c r="U15" s="20"/>
      <c r="V15" s="20"/>
      <c r="W15" s="12"/>
      <c r="X15" s="202"/>
      <c r="Y15" s="45"/>
      <c r="Z15" s="12"/>
      <c r="AA15" s="12"/>
      <c r="AB15" s="12"/>
      <c r="AC15" s="12"/>
      <c r="AD15" s="2"/>
    </row>
    <row r="16" spans="1:30">
      <c r="A16" s="8"/>
      <c r="C16" s="199" t="s">
        <v>17</v>
      </c>
      <c r="D16" s="23">
        <v>0.85</v>
      </c>
      <c r="E16" s="6"/>
      <c r="F16" s="199" t="s">
        <v>14</v>
      </c>
      <c r="G16" s="25">
        <f>+((1+G15)^(1/12)-1)*12</f>
        <v>0.77183339393875983</v>
      </c>
      <c r="H16" s="25"/>
      <c r="I16" s="205"/>
      <c r="L16" s="12"/>
      <c r="M16" s="12"/>
      <c r="N16" s="12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12"/>
      <c r="AB16" s="12"/>
      <c r="AC16" s="12"/>
      <c r="AD16" s="2"/>
    </row>
    <row r="17" spans="1:30">
      <c r="A17" s="8"/>
      <c r="E17" s="6"/>
      <c r="F17" s="199" t="s">
        <v>15</v>
      </c>
      <c r="G17" s="25">
        <f>+(G16-D35)</f>
        <v>7.9958393938759809E-2</v>
      </c>
      <c r="H17" s="121" t="s">
        <v>34</v>
      </c>
      <c r="I17" s="205"/>
      <c r="L17" s="12"/>
      <c r="M17" s="12"/>
      <c r="N17" s="12"/>
      <c r="O17" s="207"/>
      <c r="P17" s="20"/>
      <c r="Q17" s="20"/>
      <c r="R17" s="20"/>
      <c r="S17" s="20"/>
      <c r="T17" s="20"/>
      <c r="U17" s="20"/>
      <c r="V17" s="20"/>
      <c r="W17" s="12"/>
      <c r="X17" s="202"/>
      <c r="Y17" s="45"/>
      <c r="Z17" s="12"/>
      <c r="AA17" s="12"/>
      <c r="AB17" s="12"/>
      <c r="AC17" s="12"/>
      <c r="AD17" s="2"/>
    </row>
    <row r="18" spans="1:30">
      <c r="A18" s="8"/>
      <c r="C18" s="199"/>
      <c r="D18" s="203"/>
      <c r="E18" s="6"/>
      <c r="F18" s="199" t="s">
        <v>14</v>
      </c>
      <c r="G18" s="25">
        <f>+((1+G12)^(1/12)-1)*12</f>
        <v>0.77141661504640702</v>
      </c>
      <c r="H18" s="208" t="s">
        <v>19</v>
      </c>
      <c r="L18" s="12"/>
      <c r="M18" s="12"/>
      <c r="N18" s="12"/>
      <c r="O18" s="207"/>
      <c r="P18" s="20"/>
      <c r="Q18" s="20"/>
      <c r="R18" s="20"/>
      <c r="S18" s="20"/>
      <c r="T18" s="20"/>
      <c r="U18" s="20"/>
      <c r="V18" s="20"/>
      <c r="W18" s="12"/>
      <c r="X18" s="12"/>
      <c r="Y18" s="12"/>
      <c r="Z18" s="12"/>
      <c r="AA18" s="12"/>
      <c r="AB18" s="12"/>
      <c r="AC18" s="12"/>
      <c r="AD18" s="2"/>
    </row>
    <row r="19" spans="1:30">
      <c r="A19" s="8"/>
      <c r="C19" s="199"/>
      <c r="D19" s="203"/>
      <c r="E19" s="6"/>
      <c r="F19" s="199"/>
      <c r="G19" s="25"/>
      <c r="H19" s="208"/>
      <c r="L19" s="12"/>
      <c r="M19" s="12"/>
      <c r="N19" s="12"/>
      <c r="O19" s="207"/>
      <c r="P19" s="20"/>
      <c r="Q19" s="20"/>
      <c r="R19" s="20"/>
      <c r="S19" s="20"/>
      <c r="T19" s="20"/>
      <c r="U19" s="20"/>
      <c r="V19" s="20"/>
      <c r="W19" s="12"/>
      <c r="X19" s="12"/>
      <c r="Y19" s="12"/>
      <c r="Z19" s="12"/>
      <c r="AA19" s="12"/>
      <c r="AB19" s="12"/>
      <c r="AC19" s="12"/>
      <c r="AD19" s="2"/>
    </row>
    <row r="20" spans="1:30" ht="15">
      <c r="A20" s="8"/>
      <c r="B20" s="283" t="s">
        <v>36</v>
      </c>
      <c r="C20" s="283"/>
      <c r="D20" s="283"/>
      <c r="E20" s="283"/>
      <c r="F20" s="283"/>
      <c r="G20" s="283"/>
      <c r="H20" s="283"/>
      <c r="I20" s="283"/>
      <c r="R20" s="4"/>
      <c r="V20" s="130"/>
      <c r="W20" s="12"/>
      <c r="X20" s="12"/>
      <c r="Y20" s="12"/>
      <c r="Z20" s="12"/>
      <c r="AA20" s="12"/>
      <c r="AB20" s="12"/>
      <c r="AC20" s="12"/>
      <c r="AD20" s="2"/>
    </row>
    <row r="21" spans="1:30">
      <c r="A21" s="8"/>
      <c r="B21" s="278" t="s">
        <v>26</v>
      </c>
      <c r="C21" s="279"/>
      <c r="D21" s="279"/>
      <c r="E21" s="279"/>
      <c r="F21" s="279"/>
      <c r="G21" s="279"/>
      <c r="H21" s="279"/>
      <c r="I21" s="280"/>
      <c r="J21" s="209"/>
      <c r="K21" s="27"/>
      <c r="L21" s="12"/>
      <c r="M21" s="12"/>
      <c r="N21" s="281" t="s">
        <v>25</v>
      </c>
      <c r="O21" s="281"/>
      <c r="P21" s="281"/>
      <c r="Q21" s="281"/>
      <c r="R21" s="245"/>
      <c r="S21" s="130"/>
      <c r="T21" s="130"/>
      <c r="U21" s="130"/>
      <c r="V21" s="210"/>
      <c r="W21" s="12"/>
      <c r="X21" s="12"/>
      <c r="Y21" s="12"/>
      <c r="Z21" s="12"/>
      <c r="AA21" s="12"/>
      <c r="AB21" s="12"/>
      <c r="AC21" s="12"/>
      <c r="AD21" s="2"/>
    </row>
    <row r="22" spans="1:30" ht="25.5">
      <c r="A22" s="58"/>
      <c r="B22" s="64" t="s">
        <v>0</v>
      </c>
      <c r="C22" s="64" t="s">
        <v>32</v>
      </c>
      <c r="D22" s="65" t="s">
        <v>28</v>
      </c>
      <c r="E22" s="65" t="s">
        <v>6</v>
      </c>
      <c r="F22" s="66" t="s">
        <v>1</v>
      </c>
      <c r="G22" s="211" t="s">
        <v>2</v>
      </c>
      <c r="H22" s="66" t="s">
        <v>4</v>
      </c>
      <c r="I22" s="66" t="s">
        <v>8</v>
      </c>
      <c r="J22" s="212"/>
      <c r="L22" s="28" t="s">
        <v>0</v>
      </c>
      <c r="M22" s="29" t="s">
        <v>20</v>
      </c>
      <c r="N22" s="28" t="s">
        <v>23</v>
      </c>
      <c r="O22" s="28" t="s">
        <v>3</v>
      </c>
      <c r="P22" s="28" t="s">
        <v>21</v>
      </c>
      <c r="Q22" s="28" t="s">
        <v>22</v>
      </c>
      <c r="R22" s="30"/>
      <c r="S22" s="210" t="s">
        <v>3</v>
      </c>
      <c r="T22" s="210" t="s">
        <v>24</v>
      </c>
      <c r="U22" s="210" t="s">
        <v>5</v>
      </c>
      <c r="V22" s="213"/>
      <c r="W22" s="12"/>
      <c r="X22" s="12"/>
      <c r="Y22" s="12"/>
      <c r="Z22" s="12"/>
      <c r="AA22" s="12"/>
      <c r="AB22" s="12"/>
      <c r="AC22" s="12"/>
      <c r="AD22" s="2"/>
    </row>
    <row r="23" spans="1:30">
      <c r="A23" s="36"/>
      <c r="B23" s="233">
        <v>44895</v>
      </c>
      <c r="C23" s="214"/>
      <c r="D23" s="228"/>
      <c r="E23" s="229"/>
      <c r="F23" s="225"/>
      <c r="G23" s="225"/>
      <c r="H23" s="49">
        <f>+D12*G13*-1</f>
        <v>-254105830.95596868</v>
      </c>
      <c r="I23" s="225">
        <f>+D12</f>
        <v>255526000</v>
      </c>
      <c r="J23" s="215"/>
      <c r="L23" s="31">
        <v>44895</v>
      </c>
      <c r="M23" s="150"/>
      <c r="N23" s="32">
        <v>44804</v>
      </c>
      <c r="O23" s="151"/>
      <c r="P23" s="31"/>
      <c r="Q23" s="33"/>
      <c r="R23" s="35"/>
      <c r="S23" s="216">
        <f t="shared" ref="S23:S31" si="0">+L23-$B$23</f>
        <v>0</v>
      </c>
      <c r="T23" s="213"/>
      <c r="U23" s="213"/>
      <c r="V23" s="41"/>
      <c r="W23" s="12"/>
      <c r="X23" s="12"/>
      <c r="Y23" s="12"/>
      <c r="Z23" s="12"/>
      <c r="AA23" s="12"/>
      <c r="AB23" s="12"/>
      <c r="AC23" s="12"/>
      <c r="AD23" s="2"/>
    </row>
    <row r="24" spans="1:30">
      <c r="A24" s="36"/>
      <c r="B24" s="233">
        <v>44915</v>
      </c>
      <c r="C24" s="265">
        <f>+'VDF A'!C24</f>
        <v>0.69187500000000002</v>
      </c>
      <c r="D24" s="220">
        <f t="shared" ref="D24:D30" si="1">IF(C24+$D$14&lt;$D$15,$D$15,IF(C24+$D$14&gt;$D$16,$D$16,C24+$D$14))</f>
        <v>0.70187500000000003</v>
      </c>
      <c r="E24" s="230">
        <f>+F24/$I$23</f>
        <v>8.7968530518094695E-2</v>
      </c>
      <c r="F24" s="49">
        <f>+IF(I23&gt;0,MIN(M24-G24,I23),0)</f>
        <v>22478246.729166664</v>
      </c>
      <c r="G24" s="231">
        <f t="shared" ref="G24:G31" si="2">+MIN($M24,Q23+P24)</f>
        <v>14945609.270833334</v>
      </c>
      <c r="H24" s="225">
        <f t="shared" ref="H24:H29" si="3">+F24+G24</f>
        <v>37423856</v>
      </c>
      <c r="I24" s="225">
        <f>+I23-F24</f>
        <v>233047753.27083334</v>
      </c>
      <c r="J24" s="215"/>
      <c r="L24" s="38">
        <v>44915</v>
      </c>
      <c r="M24" s="172">
        <f>+'VDF A'!M24</f>
        <v>37423856</v>
      </c>
      <c r="N24" s="39">
        <v>44834</v>
      </c>
      <c r="O24" s="152">
        <v>30</v>
      </c>
      <c r="P24" s="40">
        <f>+I23*(D24)/360*O24</f>
        <v>14945609.270833334</v>
      </c>
      <c r="Q24" s="40">
        <f>+Q23+P24-G24</f>
        <v>0</v>
      </c>
      <c r="R24" s="41"/>
      <c r="S24" s="216">
        <f t="shared" si="0"/>
        <v>20</v>
      </c>
      <c r="T24" s="41">
        <f t="shared" ref="T24:T31" si="4">+H24/(1+$G$15)^(S24/360)</f>
        <v>35900503.069439523</v>
      </c>
      <c r="U24" s="41">
        <f>+T24*S24</f>
        <v>718010061.38879049</v>
      </c>
      <c r="V24" s="161"/>
      <c r="W24" s="156"/>
      <c r="X24" s="154"/>
      <c r="Y24" s="12"/>
      <c r="Z24" s="12"/>
      <c r="AA24" s="12"/>
      <c r="AB24" s="12"/>
      <c r="AC24" s="12"/>
      <c r="AD24" s="2"/>
    </row>
    <row r="25" spans="1:30">
      <c r="A25" s="36"/>
      <c r="B25" s="233">
        <v>44946</v>
      </c>
      <c r="C25" s="265">
        <f>+'VDF A'!C25</f>
        <v>0.68559999999999999</v>
      </c>
      <c r="D25" s="220">
        <f t="shared" si="1"/>
        <v>0.7</v>
      </c>
      <c r="E25" s="230">
        <f t="shared" ref="E25:E30" si="5">+F25/$I$23</f>
        <v>9.6190457041037125E-2</v>
      </c>
      <c r="F25" s="49">
        <f t="shared" ref="F25:F31" si="6">+IF(I24&gt;0,MIN(M25-G25,I24),0)</f>
        <v>24579162.725868054</v>
      </c>
      <c r="G25" s="231">
        <f t="shared" si="2"/>
        <v>13594452.274131944</v>
      </c>
      <c r="H25" s="225">
        <f t="shared" si="3"/>
        <v>38173615</v>
      </c>
      <c r="I25" s="225">
        <f t="shared" ref="I25:I31" si="7">+I24-F25</f>
        <v>208468590.5449653</v>
      </c>
      <c r="J25" s="215"/>
      <c r="L25" s="38">
        <v>44946</v>
      </c>
      <c r="M25" s="172">
        <f>+'VDF A'!M25</f>
        <v>38173615</v>
      </c>
      <c r="N25" s="39">
        <v>44865</v>
      </c>
      <c r="O25" s="152">
        <v>30</v>
      </c>
      <c r="P25" s="40">
        <f t="shared" ref="P25:P33" si="8">+I24*(D25)/360*O25</f>
        <v>13594452.274131944</v>
      </c>
      <c r="Q25" s="40">
        <f t="shared" ref="Q25:Q31" si="9">+Q24+P25-G25</f>
        <v>0</v>
      </c>
      <c r="R25" s="41"/>
      <c r="S25" s="216">
        <f t="shared" si="0"/>
        <v>51</v>
      </c>
      <c r="T25" s="41">
        <f t="shared" si="4"/>
        <v>34335303.57417357</v>
      </c>
      <c r="U25" s="41">
        <f t="shared" ref="U25:U30" si="10">+T25*S25</f>
        <v>1751100482.2828522</v>
      </c>
      <c r="V25" s="161"/>
      <c r="W25" s="156"/>
      <c r="X25" s="154"/>
      <c r="Y25" s="12"/>
      <c r="Z25" s="12"/>
      <c r="AA25" s="12"/>
      <c r="AB25" s="12"/>
      <c r="AC25" s="12"/>
      <c r="AD25" s="2"/>
    </row>
    <row r="26" spans="1:30">
      <c r="A26" s="36"/>
      <c r="B26" s="233">
        <v>44977</v>
      </c>
      <c r="C26" s="265">
        <f>+'VDF A'!C26</f>
        <v>0.68559999999999999</v>
      </c>
      <c r="D26" s="220">
        <f t="shared" si="1"/>
        <v>0.7</v>
      </c>
      <c r="E26" s="230">
        <f t="shared" si="5"/>
        <v>9.8581929894454412E-2</v>
      </c>
      <c r="F26" s="49">
        <f t="shared" si="6"/>
        <v>25190246.218210358</v>
      </c>
      <c r="G26" s="231">
        <f t="shared" si="2"/>
        <v>12160667.781789642</v>
      </c>
      <c r="H26" s="225">
        <f t="shared" si="3"/>
        <v>37350914</v>
      </c>
      <c r="I26" s="225">
        <f t="shared" si="7"/>
        <v>183278344.32675493</v>
      </c>
      <c r="J26" s="215"/>
      <c r="L26" s="38">
        <v>44977</v>
      </c>
      <c r="M26" s="172">
        <f>+'VDF A'!M26</f>
        <v>37350914</v>
      </c>
      <c r="N26" s="39">
        <v>44895</v>
      </c>
      <c r="O26" s="152">
        <v>30</v>
      </c>
      <c r="P26" s="40">
        <f t="shared" si="8"/>
        <v>12160667.781789642</v>
      </c>
      <c r="Q26" s="40">
        <f t="shared" si="9"/>
        <v>0</v>
      </c>
      <c r="R26" s="41"/>
      <c r="S26" s="216">
        <f t="shared" si="0"/>
        <v>82</v>
      </c>
      <c r="T26" s="41">
        <f t="shared" si="4"/>
        <v>31499556.390331719</v>
      </c>
      <c r="U26" s="41">
        <f t="shared" si="10"/>
        <v>2582963624.0072012</v>
      </c>
      <c r="V26" s="161"/>
      <c r="W26" s="156"/>
      <c r="X26" s="154"/>
      <c r="Y26" s="12"/>
      <c r="Z26" s="12"/>
      <c r="AA26" s="12"/>
      <c r="AB26" s="12"/>
      <c r="AC26" s="12"/>
      <c r="AD26" s="2"/>
    </row>
    <row r="27" spans="1:30">
      <c r="A27" s="36"/>
      <c r="B27" s="233">
        <v>45005</v>
      </c>
      <c r="C27" s="265">
        <f>+'VDF A'!C27</f>
        <v>0.68559999999999999</v>
      </c>
      <c r="D27" s="220">
        <f t="shared" si="1"/>
        <v>0.7</v>
      </c>
      <c r="E27" s="230">
        <f t="shared" si="5"/>
        <v>9.9529011715465215E-2</v>
      </c>
      <c r="F27" s="49">
        <f t="shared" si="6"/>
        <v>25432250.247605965</v>
      </c>
      <c r="G27" s="231">
        <f t="shared" si="2"/>
        <v>10691236.752394035</v>
      </c>
      <c r="H27" s="225">
        <f t="shared" si="3"/>
        <v>36123487</v>
      </c>
      <c r="I27" s="225">
        <f t="shared" si="7"/>
        <v>157846094.07914895</v>
      </c>
      <c r="J27" s="215"/>
      <c r="L27" s="38">
        <v>45005</v>
      </c>
      <c r="M27" s="172">
        <f>+'VDF A'!M27</f>
        <v>36123487</v>
      </c>
      <c r="N27" s="39">
        <v>44926</v>
      </c>
      <c r="O27" s="152">
        <v>30</v>
      </c>
      <c r="P27" s="40">
        <f t="shared" si="8"/>
        <v>10691236.752394035</v>
      </c>
      <c r="Q27" s="40">
        <f t="shared" si="9"/>
        <v>0</v>
      </c>
      <c r="R27" s="41"/>
      <c r="S27" s="216">
        <f t="shared" si="0"/>
        <v>110</v>
      </c>
      <c r="T27" s="41">
        <f t="shared" si="4"/>
        <v>28742574.873033945</v>
      </c>
      <c r="U27" s="41">
        <f t="shared" si="10"/>
        <v>3161683236.0337338</v>
      </c>
      <c r="V27" s="161"/>
      <c r="W27" s="156"/>
      <c r="X27" s="154"/>
      <c r="Y27" s="12"/>
      <c r="Z27" s="12"/>
      <c r="AA27" s="12"/>
      <c r="AB27" s="12"/>
      <c r="AC27" s="12"/>
      <c r="AD27" s="2"/>
    </row>
    <row r="28" spans="1:30">
      <c r="A28" s="36"/>
      <c r="B28" s="233">
        <v>45036</v>
      </c>
      <c r="C28" s="265">
        <f>+'VDF A'!C28</f>
        <v>0.68559999999999999</v>
      </c>
      <c r="D28" s="220">
        <f t="shared" si="1"/>
        <v>0.7</v>
      </c>
      <c r="E28" s="230">
        <f t="shared" si="5"/>
        <v>9.8876486849542936E-2</v>
      </c>
      <c r="F28" s="49">
        <f t="shared" si="6"/>
        <v>25265513.178716309</v>
      </c>
      <c r="G28" s="231">
        <f t="shared" si="2"/>
        <v>9207688.8212836888</v>
      </c>
      <c r="H28" s="225">
        <f t="shared" si="3"/>
        <v>34473202</v>
      </c>
      <c r="I28" s="225">
        <f t="shared" si="7"/>
        <v>132580580.90043265</v>
      </c>
      <c r="J28" s="215"/>
      <c r="L28" s="38">
        <v>45036</v>
      </c>
      <c r="M28" s="172">
        <f>+'VDF A'!M28</f>
        <v>34473202</v>
      </c>
      <c r="N28" s="39">
        <v>44957</v>
      </c>
      <c r="O28" s="152">
        <v>30</v>
      </c>
      <c r="P28" s="40">
        <f t="shared" si="8"/>
        <v>9207688.8212836888</v>
      </c>
      <c r="Q28" s="40">
        <f t="shared" si="9"/>
        <v>0</v>
      </c>
      <c r="R28" s="41"/>
      <c r="S28" s="216">
        <f t="shared" si="0"/>
        <v>141</v>
      </c>
      <c r="T28" s="41">
        <f t="shared" si="4"/>
        <v>25718357.614138637</v>
      </c>
      <c r="U28" s="41">
        <f t="shared" si="10"/>
        <v>3626288423.5935478</v>
      </c>
      <c r="V28" s="161"/>
      <c r="W28" s="156"/>
      <c r="X28" s="154"/>
      <c r="Y28" s="12"/>
      <c r="Z28" s="12"/>
      <c r="AA28" s="12"/>
      <c r="AB28" s="12"/>
      <c r="AC28" s="12"/>
      <c r="AD28" s="2"/>
    </row>
    <row r="29" spans="1:30">
      <c r="A29" s="36"/>
      <c r="B29" s="233">
        <v>45068</v>
      </c>
      <c r="C29" s="265">
        <f>+'VDF A'!C29</f>
        <v>0.68559999999999999</v>
      </c>
      <c r="D29" s="220">
        <f t="shared" si="1"/>
        <v>0.7</v>
      </c>
      <c r="E29" s="230">
        <f t="shared" si="5"/>
        <v>0.10182483497103267</v>
      </c>
      <c r="F29" s="49">
        <f t="shared" si="6"/>
        <v>26018892.780808095</v>
      </c>
      <c r="G29" s="231">
        <f t="shared" si="2"/>
        <v>7733867.2191919042</v>
      </c>
      <c r="H29" s="225">
        <f t="shared" si="3"/>
        <v>33752760</v>
      </c>
      <c r="I29" s="225">
        <f t="shared" si="7"/>
        <v>106561688.11962456</v>
      </c>
      <c r="J29" s="215"/>
      <c r="L29" s="38">
        <v>45068</v>
      </c>
      <c r="M29" s="172">
        <f>+'VDF A'!M29</f>
        <v>33752760</v>
      </c>
      <c r="N29" s="39">
        <v>44985</v>
      </c>
      <c r="O29" s="152">
        <v>30</v>
      </c>
      <c r="P29" s="40">
        <f t="shared" si="8"/>
        <v>7733867.2191919042</v>
      </c>
      <c r="Q29" s="40">
        <f t="shared" si="9"/>
        <v>0</v>
      </c>
      <c r="R29" s="41"/>
      <c r="S29" s="216">
        <f t="shared" si="0"/>
        <v>173</v>
      </c>
      <c r="T29" s="41">
        <f t="shared" si="4"/>
        <v>23561020.632871225</v>
      </c>
      <c r="U29" s="41">
        <f t="shared" si="10"/>
        <v>4076056569.486722</v>
      </c>
      <c r="V29" s="161"/>
      <c r="W29" s="156"/>
      <c r="X29" s="154"/>
      <c r="Y29" s="12"/>
      <c r="Z29" s="12"/>
      <c r="AA29" s="12"/>
      <c r="AB29" s="12"/>
      <c r="AC29" s="12"/>
      <c r="AD29" s="2"/>
    </row>
    <row r="30" spans="1:30">
      <c r="A30" s="36"/>
      <c r="B30" s="233">
        <v>45098</v>
      </c>
      <c r="C30" s="265">
        <f>+'VDF A'!C30</f>
        <v>0.68559999999999999</v>
      </c>
      <c r="D30" s="220">
        <f t="shared" si="1"/>
        <v>0.7</v>
      </c>
      <c r="E30" s="230">
        <f t="shared" si="5"/>
        <v>0.10280724281034115</v>
      </c>
      <c r="F30" s="49">
        <f t="shared" si="6"/>
        <v>26269923.526355233</v>
      </c>
      <c r="G30" s="231">
        <f t="shared" si="2"/>
        <v>6216098.473644766</v>
      </c>
      <c r="H30" s="225">
        <f t="shared" ref="H30:H33" si="11">+F30+G30</f>
        <v>32486022</v>
      </c>
      <c r="I30" s="225">
        <f t="shared" si="7"/>
        <v>80291764.593269318</v>
      </c>
      <c r="J30" s="215"/>
      <c r="L30" s="38">
        <v>45098</v>
      </c>
      <c r="M30" s="172">
        <f>+'VDF A'!M30</f>
        <v>32486022</v>
      </c>
      <c r="N30" s="39">
        <v>45016</v>
      </c>
      <c r="O30" s="152">
        <v>30</v>
      </c>
      <c r="P30" s="40">
        <f t="shared" si="8"/>
        <v>6216098.473644766</v>
      </c>
      <c r="Q30" s="40">
        <f t="shared" si="9"/>
        <v>0</v>
      </c>
      <c r="R30" s="41"/>
      <c r="S30" s="216">
        <f t="shared" si="0"/>
        <v>203</v>
      </c>
      <c r="T30" s="41">
        <f t="shared" si="4"/>
        <v>21306364.072573781</v>
      </c>
      <c r="U30" s="41">
        <f t="shared" si="10"/>
        <v>4325191906.7324772</v>
      </c>
      <c r="V30" s="161"/>
      <c r="W30" s="156"/>
      <c r="X30" s="154"/>
      <c r="Y30" s="12"/>
      <c r="Z30" s="12"/>
      <c r="AA30" s="12"/>
      <c r="AB30" s="12"/>
      <c r="AC30" s="12"/>
      <c r="AD30" s="2"/>
    </row>
    <row r="31" spans="1:30">
      <c r="A31" s="36"/>
      <c r="B31" s="233">
        <v>45127</v>
      </c>
      <c r="C31" s="265">
        <f>+'VDF A'!C31</f>
        <v>0.68559999999999999</v>
      </c>
      <c r="D31" s="220">
        <f t="shared" ref="D31:D33" si="12">IF(C31+$D$14&lt;$D$15,$D$15,IF(C31+$D$14&gt;$D$16,$D$16,C31+$D$14))</f>
        <v>0.7</v>
      </c>
      <c r="E31" s="230">
        <f t="shared" ref="E31:E33" si="13">+F31/$I$23</f>
        <v>0.10798337050656015</v>
      </c>
      <c r="F31" s="49">
        <f t="shared" si="6"/>
        <v>27592558.732059289</v>
      </c>
      <c r="G31" s="231">
        <f t="shared" si="2"/>
        <v>4683686.2679407103</v>
      </c>
      <c r="H31" s="225">
        <f t="shared" si="11"/>
        <v>32276245</v>
      </c>
      <c r="I31" s="225">
        <f t="shared" si="7"/>
        <v>52699205.861210033</v>
      </c>
      <c r="J31" s="215"/>
      <c r="L31" s="38">
        <v>45127</v>
      </c>
      <c r="M31" s="172">
        <f>+'VDF A'!M31</f>
        <v>32276245</v>
      </c>
      <c r="N31" s="39">
        <v>45046</v>
      </c>
      <c r="O31" s="152">
        <v>30</v>
      </c>
      <c r="P31" s="40">
        <f t="shared" si="8"/>
        <v>4683686.2679407103</v>
      </c>
      <c r="Q31" s="40">
        <f t="shared" si="9"/>
        <v>0</v>
      </c>
      <c r="R31" s="41"/>
      <c r="S31" s="216">
        <f t="shared" si="0"/>
        <v>232</v>
      </c>
      <c r="T31" s="41">
        <f t="shared" si="4"/>
        <v>19930868.073473472</v>
      </c>
      <c r="U31" s="41">
        <f t="shared" ref="U31:U33" si="14">+T31*S31</f>
        <v>4623961393.045846</v>
      </c>
      <c r="V31" s="161"/>
      <c r="W31" s="156"/>
      <c r="X31" s="154"/>
      <c r="Y31" s="12"/>
      <c r="Z31" s="12"/>
      <c r="AA31" s="12"/>
      <c r="AB31" s="12"/>
      <c r="AC31" s="12"/>
      <c r="AD31" s="2"/>
    </row>
    <row r="32" spans="1:30">
      <c r="A32" s="36"/>
      <c r="B32" s="233">
        <v>45159</v>
      </c>
      <c r="C32" s="265">
        <f>+'VDF A'!C32</f>
        <v>0.68559999999999999</v>
      </c>
      <c r="D32" s="220">
        <f t="shared" si="12"/>
        <v>0.7</v>
      </c>
      <c r="E32" s="230">
        <f t="shared" si="13"/>
        <v>0.11318006253021642</v>
      </c>
      <c r="F32" s="49">
        <f t="shared" ref="F32:F33" si="15">+IF(I31&gt;0,MIN(M32-G32,I31),0)</f>
        <v>28920448.658096083</v>
      </c>
      <c r="G32" s="231">
        <f t="shared" ref="G32:G33" si="16">+MIN($M32,Q31+P32)</f>
        <v>3074120.3419039184</v>
      </c>
      <c r="H32" s="225">
        <f t="shared" si="11"/>
        <v>31994569</v>
      </c>
      <c r="I32" s="225">
        <f t="shared" ref="I32:I33" si="17">+I31-F32</f>
        <v>23778757.203113951</v>
      </c>
      <c r="J32" s="215"/>
      <c r="L32" s="38">
        <v>45159</v>
      </c>
      <c r="M32" s="172">
        <f>+'VDF A'!M32</f>
        <v>31994569</v>
      </c>
      <c r="N32" s="39">
        <v>45077</v>
      </c>
      <c r="O32" s="152">
        <v>30</v>
      </c>
      <c r="P32" s="40">
        <f t="shared" si="8"/>
        <v>3074120.3419039184</v>
      </c>
      <c r="Q32" s="40">
        <f t="shared" ref="Q32:Q33" si="18">+Q31+P32-G32</f>
        <v>0</v>
      </c>
      <c r="R32" s="41"/>
      <c r="S32" s="216">
        <f>+L32-$B$23</f>
        <v>264</v>
      </c>
      <c r="T32" s="41">
        <f>+H32/(1+$G$15)^(S32/360)</f>
        <v>18485988.423338305</v>
      </c>
      <c r="U32" s="41">
        <f t="shared" si="14"/>
        <v>4880300943.7613125</v>
      </c>
      <c r="V32" s="161"/>
      <c r="W32" s="156"/>
      <c r="X32" s="154"/>
      <c r="Y32" s="12"/>
      <c r="Z32" s="12"/>
      <c r="AA32" s="12"/>
      <c r="AB32" s="12"/>
      <c r="AC32" s="12"/>
      <c r="AD32" s="2"/>
    </row>
    <row r="33" spans="1:30">
      <c r="A33" s="36"/>
      <c r="B33" s="233">
        <v>45189</v>
      </c>
      <c r="C33" s="265">
        <f>+'VDF A'!C33</f>
        <v>0.68559999999999999</v>
      </c>
      <c r="D33" s="220">
        <f t="shared" si="12"/>
        <v>0.7</v>
      </c>
      <c r="E33" s="230">
        <f t="shared" si="13"/>
        <v>9.3058073163255206E-2</v>
      </c>
      <c r="F33" s="49">
        <f t="shared" si="15"/>
        <v>23778757.203113951</v>
      </c>
      <c r="G33" s="231">
        <f t="shared" si="16"/>
        <v>1387094.1701816472</v>
      </c>
      <c r="H33" s="225">
        <f t="shared" si="11"/>
        <v>25165851.373295598</v>
      </c>
      <c r="I33" s="225">
        <f t="shared" si="17"/>
        <v>0</v>
      </c>
      <c r="J33" s="215"/>
      <c r="L33" s="42">
        <v>45189</v>
      </c>
      <c r="M33" s="175">
        <f>+'VDF A'!M33</f>
        <v>27773557</v>
      </c>
      <c r="N33" s="43">
        <v>45107</v>
      </c>
      <c r="O33" s="240">
        <v>30</v>
      </c>
      <c r="P33" s="44">
        <f t="shared" si="8"/>
        <v>1387094.1701816472</v>
      </c>
      <c r="Q33" s="44">
        <f t="shared" si="18"/>
        <v>0</v>
      </c>
      <c r="R33" s="41"/>
      <c r="S33" s="216">
        <f>+L33-$B$23</f>
        <v>294</v>
      </c>
      <c r="T33" s="41">
        <f>+H33/(1+$G$15)^(S33/360)</f>
        <v>13661740.801539553</v>
      </c>
      <c r="U33" s="41">
        <f t="shared" si="14"/>
        <v>4016551795.6526289</v>
      </c>
      <c r="V33" s="161"/>
      <c r="W33" s="156"/>
      <c r="X33" s="154"/>
      <c r="Y33" s="12"/>
      <c r="Z33" s="12"/>
      <c r="AA33" s="12"/>
      <c r="AB33" s="12"/>
      <c r="AC33" s="12"/>
      <c r="AD33" s="2"/>
    </row>
    <row r="34" spans="1:30" s="6" customFormat="1">
      <c r="A34" s="54"/>
      <c r="B34" s="67"/>
      <c r="C34" s="67"/>
      <c r="D34" s="68"/>
      <c r="E34" s="69">
        <f>SUM(E24:E33)</f>
        <v>0.99999999999999989</v>
      </c>
      <c r="F34" s="70">
        <f>SUM(F23:F33)</f>
        <v>255526000</v>
      </c>
      <c r="G34" s="71">
        <f>SUM(G23:G33)</f>
        <v>83694521.373295605</v>
      </c>
      <c r="H34" s="70">
        <f>SUM(H24:H33)</f>
        <v>339220521.37329561</v>
      </c>
      <c r="I34" s="72"/>
      <c r="J34" s="217"/>
      <c r="L34" s="276"/>
      <c r="M34" s="275"/>
      <c r="N34" s="276"/>
      <c r="O34" s="276"/>
      <c r="P34" s="276"/>
      <c r="Q34" s="276"/>
      <c r="R34" s="153"/>
      <c r="S34" s="45"/>
      <c r="T34" s="46">
        <f>SUM(T24:T33)</f>
        <v>253142277.5249137</v>
      </c>
      <c r="U34" s="46">
        <f>SUM(U24:U33)</f>
        <v>33762108435.985111</v>
      </c>
      <c r="V34" s="161"/>
      <c r="W34" s="154"/>
      <c r="X34" s="158"/>
      <c r="Y34" s="12"/>
      <c r="Z34" s="12"/>
      <c r="AA34" s="12"/>
      <c r="AB34" s="12"/>
      <c r="AC34" s="12"/>
    </row>
    <row r="35" spans="1:30" s="6" customFormat="1">
      <c r="A35" s="54"/>
      <c r="B35" s="218" t="s">
        <v>35</v>
      </c>
      <c r="C35" s="219"/>
      <c r="D35" s="265">
        <f>+'VDF A'!D36</f>
        <v>0.69187500000000002</v>
      </c>
      <c r="E35" s="56"/>
      <c r="F35" s="63"/>
      <c r="G35" s="63"/>
      <c r="H35" s="63"/>
      <c r="I35" s="62"/>
      <c r="J35" s="217"/>
      <c r="L35" s="45"/>
      <c r="M35" s="45"/>
      <c r="N35" s="45"/>
      <c r="O35" s="45"/>
      <c r="P35" s="12"/>
      <c r="Q35" s="12"/>
      <c r="R35" s="12"/>
      <c r="S35" s="12"/>
      <c r="T35" s="12"/>
      <c r="U35" s="47">
        <f>+U34/T34</f>
        <v>133.37206556760287</v>
      </c>
      <c r="V35" s="156"/>
      <c r="W35" s="12"/>
      <c r="X35" s="157"/>
      <c r="Y35" s="12"/>
      <c r="Z35" s="12"/>
      <c r="AA35" s="12"/>
      <c r="AB35" s="12"/>
      <c r="AC35" s="12"/>
    </row>
    <row r="36" spans="1:30" s="6" customFormat="1">
      <c r="A36" s="54"/>
      <c r="B36" s="218"/>
      <c r="C36" s="219"/>
      <c r="D36" s="220"/>
      <c r="E36" s="56"/>
      <c r="F36" s="126"/>
      <c r="G36" s="126"/>
      <c r="H36" s="126"/>
      <c r="I36" s="221"/>
      <c r="J36" s="217"/>
      <c r="L36" s="45"/>
      <c r="M36" s="45"/>
      <c r="N36" s="45"/>
      <c r="O36" s="45"/>
      <c r="P36" s="12"/>
      <c r="Q36" s="12"/>
      <c r="R36" s="12"/>
      <c r="S36" s="12"/>
      <c r="T36" s="130" t="s">
        <v>5</v>
      </c>
      <c r="U36" s="47">
        <f>+U35/30</f>
        <v>4.4457355189200962</v>
      </c>
      <c r="V36" s="41"/>
      <c r="W36" s="12"/>
      <c r="X36" s="12"/>
      <c r="Y36" s="12"/>
      <c r="Z36" s="12"/>
      <c r="AA36" s="12"/>
      <c r="AB36" s="12"/>
      <c r="AC36" s="12"/>
    </row>
    <row r="37" spans="1:30" s="6" customFormat="1">
      <c r="A37" s="54"/>
      <c r="B37" s="222"/>
      <c r="C37" s="222"/>
      <c r="D37" s="222"/>
      <c r="E37" s="222"/>
      <c r="F37" s="126"/>
      <c r="G37" s="126"/>
      <c r="H37" s="126"/>
      <c r="I37" s="221"/>
      <c r="J37" s="217"/>
      <c r="L37" s="45"/>
      <c r="M37" s="45"/>
      <c r="N37" s="45"/>
      <c r="O37" s="45"/>
      <c r="P37" s="12"/>
      <c r="Q37" s="12"/>
      <c r="R37" s="12"/>
      <c r="S37" s="12"/>
      <c r="T37" s="12"/>
      <c r="U37" s="47"/>
      <c r="V37" s="41"/>
      <c r="W37" s="12"/>
      <c r="X37" s="12"/>
      <c r="Y37" s="12"/>
      <c r="Z37" s="12"/>
      <c r="AA37" s="12"/>
      <c r="AB37" s="12"/>
      <c r="AC37" s="12"/>
    </row>
    <row r="38" spans="1:30">
      <c r="B38" s="218"/>
      <c r="C38" s="219"/>
      <c r="D38" s="220"/>
      <c r="E38" s="56"/>
      <c r="F38" s="126"/>
      <c r="G38" s="126"/>
      <c r="H38" s="126"/>
      <c r="I38" s="221"/>
      <c r="L38" s="45"/>
      <c r="M38" s="45"/>
      <c r="N38" s="45"/>
      <c r="O38" s="45"/>
      <c r="P38" s="12"/>
      <c r="Q38" s="12"/>
      <c r="R38" s="12"/>
      <c r="S38" s="12"/>
      <c r="T38" s="12"/>
      <c r="U38" s="47"/>
      <c r="V38" s="50"/>
      <c r="W38" s="115"/>
      <c r="X38" s="143"/>
      <c r="Y38" s="3"/>
      <c r="AC38" s="12"/>
      <c r="AD38" s="2"/>
    </row>
    <row r="39" spans="1:30" ht="15">
      <c r="B39" s="283" t="s">
        <v>30</v>
      </c>
      <c r="C39" s="283"/>
      <c r="D39" s="283"/>
      <c r="E39" s="283"/>
      <c r="F39" s="283"/>
      <c r="G39" s="283"/>
      <c r="H39" s="283"/>
      <c r="I39" s="223"/>
      <c r="J39" s="6"/>
      <c r="K39" s="6"/>
      <c r="O39" s="50"/>
      <c r="P39" s="50"/>
      <c r="Q39" s="50"/>
      <c r="R39" s="50"/>
      <c r="S39" s="50"/>
      <c r="T39" s="50"/>
      <c r="U39" s="50"/>
      <c r="V39" s="50"/>
      <c r="W39" s="50"/>
      <c r="X39" s="116"/>
    </row>
    <row r="40" spans="1:30">
      <c r="B40" s="293" t="s">
        <v>26</v>
      </c>
      <c r="C40" s="293"/>
      <c r="D40" s="293"/>
      <c r="E40" s="293"/>
      <c r="F40" s="293"/>
      <c r="G40" s="293"/>
      <c r="H40" s="293"/>
      <c r="I40" s="224"/>
      <c r="J40" s="6"/>
      <c r="K40" s="5"/>
      <c r="L40" s="12"/>
      <c r="M40" s="12"/>
      <c r="N40" s="281" t="s">
        <v>25</v>
      </c>
      <c r="O40" s="281"/>
      <c r="P40" s="281"/>
      <c r="Q40" s="281"/>
      <c r="R40" s="26"/>
      <c r="S40" s="26"/>
      <c r="T40" s="50"/>
      <c r="U40" s="50"/>
      <c r="V40" s="50"/>
      <c r="X40" s="143"/>
      <c r="Y40" s="3"/>
      <c r="AC40" s="12"/>
    </row>
    <row r="41" spans="1:30" ht="25.5">
      <c r="B41" s="64" t="s">
        <v>0</v>
      </c>
      <c r="C41" s="65" t="s">
        <v>29</v>
      </c>
      <c r="D41" s="65" t="s">
        <v>6</v>
      </c>
      <c r="E41" s="66" t="s">
        <v>1</v>
      </c>
      <c r="F41" s="211" t="s">
        <v>2</v>
      </c>
      <c r="G41" s="66" t="s">
        <v>4</v>
      </c>
      <c r="H41" s="66" t="s">
        <v>8</v>
      </c>
      <c r="I41" s="6"/>
      <c r="J41" s="6"/>
      <c r="K41" s="5"/>
      <c r="L41" s="28" t="s">
        <v>0</v>
      </c>
      <c r="M41" s="29" t="s">
        <v>20</v>
      </c>
      <c r="N41" s="28" t="s">
        <v>23</v>
      </c>
      <c r="O41" s="28" t="s">
        <v>3</v>
      </c>
      <c r="P41" s="28" t="s">
        <v>21</v>
      </c>
      <c r="Q41" s="28" t="s">
        <v>22</v>
      </c>
      <c r="R41" s="30"/>
      <c r="S41" s="30"/>
      <c r="T41" s="50"/>
      <c r="U41" s="50"/>
      <c r="V41" s="50"/>
      <c r="W41" s="50"/>
      <c r="X41" s="143"/>
      <c r="Y41" s="3"/>
      <c r="AC41" s="12"/>
    </row>
    <row r="42" spans="1:30">
      <c r="B42" s="227">
        <v>44895</v>
      </c>
      <c r="C42" s="228"/>
      <c r="D42" s="229"/>
      <c r="E42" s="225"/>
      <c r="F42" s="225"/>
      <c r="G42" s="49">
        <v>0</v>
      </c>
      <c r="H42" s="225">
        <f>+P14</f>
        <v>255526000</v>
      </c>
      <c r="I42" s="184"/>
      <c r="J42" s="6"/>
      <c r="K42" s="5"/>
      <c r="L42" s="32">
        <v>44785</v>
      </c>
      <c r="M42" s="179"/>
      <c r="N42" s="32">
        <v>44804</v>
      </c>
      <c r="O42" s="171"/>
      <c r="P42" s="178"/>
      <c r="Q42" s="176"/>
      <c r="R42" s="169"/>
      <c r="S42" s="169"/>
      <c r="T42" s="50"/>
      <c r="U42" s="50"/>
      <c r="V42" s="50"/>
      <c r="X42" s="143"/>
      <c r="Y42" s="3"/>
      <c r="AC42" s="12"/>
    </row>
    <row r="43" spans="1:30">
      <c r="B43" s="233">
        <v>44915</v>
      </c>
      <c r="C43" s="220">
        <v>0.7</v>
      </c>
      <c r="D43" s="230">
        <f t="shared" ref="D43:D48" si="19">+E43/$H$42</f>
        <v>8.8124780518094692E-2</v>
      </c>
      <c r="E43" s="49">
        <f>+IF(H42&gt;0,MIN(M43-F43,H42),0)</f>
        <v>22518172.666666664</v>
      </c>
      <c r="F43" s="231">
        <f>+MIN($M43,Q42+P43)</f>
        <v>14905683.333333334</v>
      </c>
      <c r="G43" s="225">
        <f t="shared" ref="G43:G49" si="20">+E43+F43</f>
        <v>37423856</v>
      </c>
      <c r="H43" s="225">
        <f t="shared" ref="H43:H49" si="21">+H42-E43</f>
        <v>233007827.33333334</v>
      </c>
      <c r="I43" s="185"/>
      <c r="J43" s="6"/>
      <c r="K43" s="5"/>
      <c r="L43" s="38">
        <v>44824</v>
      </c>
      <c r="M43" s="172">
        <f>+'VDF A'!M44</f>
        <v>37423856</v>
      </c>
      <c r="N43" s="39">
        <v>44834</v>
      </c>
      <c r="O43" s="152">
        <v>30</v>
      </c>
      <c r="P43" s="40">
        <f>+H42*(C43)/360*O43</f>
        <v>14905683.333333334</v>
      </c>
      <c r="Q43" s="236">
        <f t="shared" ref="Q43:Q49" si="22">+Q42+P43-F43</f>
        <v>0</v>
      </c>
      <c r="R43" s="238"/>
      <c r="S43" s="238"/>
      <c r="T43" s="50"/>
      <c r="U43" s="50"/>
      <c r="V43" s="50"/>
      <c r="X43" s="143"/>
      <c r="Y43" s="3"/>
      <c r="AC43" s="12"/>
    </row>
    <row r="44" spans="1:30">
      <c r="B44" s="233">
        <v>44946</v>
      </c>
      <c r="C44" s="220">
        <v>0.7</v>
      </c>
      <c r="D44" s="230">
        <f t="shared" si="19"/>
        <v>9.619957162437047E-2</v>
      </c>
      <c r="E44" s="49">
        <f t="shared" ref="E44:E49" si="23">+IF(H43&gt;0,MIN(M44-F44,H43),0)</f>
        <v>24581491.73888889</v>
      </c>
      <c r="F44" s="231">
        <f t="shared" ref="F44:F49" si="24">+MIN($M44,Q43+P44)</f>
        <v>13592123.26111111</v>
      </c>
      <c r="G44" s="225">
        <f t="shared" si="20"/>
        <v>38173615</v>
      </c>
      <c r="H44" s="225">
        <f t="shared" si="21"/>
        <v>208426335.59444445</v>
      </c>
      <c r="I44" s="185"/>
      <c r="J44" s="6"/>
      <c r="K44" s="5"/>
      <c r="L44" s="38">
        <v>44854</v>
      </c>
      <c r="M44" s="172">
        <f>+'VDF A'!M45</f>
        <v>38173615</v>
      </c>
      <c r="N44" s="39">
        <v>44865</v>
      </c>
      <c r="O44" s="152">
        <v>30</v>
      </c>
      <c r="P44" s="40">
        <f t="shared" ref="P44:P52" si="25">+H43*(C44)/360*O44</f>
        <v>13592123.26111111</v>
      </c>
      <c r="Q44" s="236">
        <f t="shared" si="22"/>
        <v>0</v>
      </c>
      <c r="R44" s="238"/>
      <c r="S44" s="238"/>
      <c r="V44" s="50"/>
      <c r="X44" s="143"/>
      <c r="Y44" s="3"/>
      <c r="AC44" s="12"/>
    </row>
    <row r="45" spans="1:30">
      <c r="B45" s="233">
        <v>44977</v>
      </c>
      <c r="C45" s="220">
        <v>0.7</v>
      </c>
      <c r="D45" s="230">
        <f t="shared" si="19"/>
        <v>9.859157616181552E-2</v>
      </c>
      <c r="E45" s="49">
        <f t="shared" si="23"/>
        <v>25192711.090324074</v>
      </c>
      <c r="F45" s="231">
        <f t="shared" si="24"/>
        <v>12158202.909675926</v>
      </c>
      <c r="G45" s="225">
        <f t="shared" si="20"/>
        <v>37350914</v>
      </c>
      <c r="H45" s="225">
        <f t="shared" si="21"/>
        <v>183233624.50412038</v>
      </c>
      <c r="I45" s="185"/>
      <c r="J45" s="6"/>
      <c r="K45" s="5"/>
      <c r="L45" s="38">
        <v>44886</v>
      </c>
      <c r="M45" s="172">
        <f>+'VDF A'!M46</f>
        <v>37350914</v>
      </c>
      <c r="N45" s="39">
        <v>44895</v>
      </c>
      <c r="O45" s="152">
        <v>30</v>
      </c>
      <c r="P45" s="40">
        <f t="shared" si="25"/>
        <v>12158202.909675926</v>
      </c>
      <c r="Q45" s="236">
        <f t="shared" si="22"/>
        <v>0</v>
      </c>
      <c r="R45" s="238"/>
      <c r="S45" s="238"/>
      <c r="V45" s="50"/>
      <c r="X45" s="143"/>
      <c r="Y45" s="3"/>
      <c r="AC45" s="12"/>
    </row>
    <row r="46" spans="1:30">
      <c r="B46" s="233">
        <v>45005</v>
      </c>
      <c r="C46" s="220">
        <v>0.7</v>
      </c>
      <c r="D46" s="230">
        <f t="shared" si="19"/>
        <v>9.9539220681755719E-2</v>
      </c>
      <c r="E46" s="49">
        <f t="shared" si="23"/>
        <v>25434858.903926313</v>
      </c>
      <c r="F46" s="231">
        <f t="shared" si="24"/>
        <v>10688628.096073687</v>
      </c>
      <c r="G46" s="225">
        <f t="shared" si="20"/>
        <v>36123487</v>
      </c>
      <c r="H46" s="225">
        <f t="shared" si="21"/>
        <v>157798765.60019407</v>
      </c>
      <c r="I46" s="185"/>
      <c r="J46" s="6"/>
      <c r="K46" s="5"/>
      <c r="L46" s="38">
        <v>44915</v>
      </c>
      <c r="M46" s="172">
        <f>+'VDF A'!M47</f>
        <v>36123487</v>
      </c>
      <c r="N46" s="39">
        <v>44926</v>
      </c>
      <c r="O46" s="152">
        <v>30</v>
      </c>
      <c r="P46" s="40">
        <f t="shared" si="25"/>
        <v>10688628.096073687</v>
      </c>
      <c r="Q46" s="236">
        <f t="shared" si="22"/>
        <v>0</v>
      </c>
      <c r="R46" s="238"/>
      <c r="S46" s="238"/>
      <c r="V46" s="50"/>
      <c r="X46" s="143"/>
      <c r="Y46" s="3"/>
      <c r="AC46" s="12"/>
    </row>
    <row r="47" spans="1:30">
      <c r="B47" s="233">
        <v>45036</v>
      </c>
      <c r="C47" s="220">
        <v>0.7</v>
      </c>
      <c r="D47" s="230">
        <f t="shared" si="19"/>
        <v>9.8887291338867075E-2</v>
      </c>
      <c r="E47" s="49">
        <f t="shared" si="23"/>
        <v>25268274.006655347</v>
      </c>
      <c r="F47" s="231">
        <f t="shared" si="24"/>
        <v>9204927.9933446534</v>
      </c>
      <c r="G47" s="225">
        <f t="shared" si="20"/>
        <v>34473202</v>
      </c>
      <c r="H47" s="225">
        <f t="shared" si="21"/>
        <v>132530491.59353872</v>
      </c>
      <c r="I47" s="185"/>
      <c r="J47" s="6"/>
      <c r="K47" s="5"/>
      <c r="L47" s="38">
        <v>44946</v>
      </c>
      <c r="M47" s="172">
        <f>+'VDF A'!M48</f>
        <v>34473202</v>
      </c>
      <c r="N47" s="39">
        <v>44957</v>
      </c>
      <c r="O47" s="152">
        <v>30</v>
      </c>
      <c r="P47" s="40">
        <f t="shared" si="25"/>
        <v>9204927.9933446534</v>
      </c>
      <c r="Q47" s="236">
        <f t="shared" si="22"/>
        <v>0</v>
      </c>
      <c r="R47" s="238"/>
      <c r="S47" s="238"/>
      <c r="X47" s="143"/>
      <c r="Y47" s="3"/>
      <c r="AC47" s="12"/>
    </row>
    <row r="48" spans="1:30">
      <c r="B48" s="233">
        <v>45068</v>
      </c>
      <c r="C48" s="220">
        <v>0.7</v>
      </c>
      <c r="D48" s="230">
        <f t="shared" si="19"/>
        <v>0.10183626972223404</v>
      </c>
      <c r="E48" s="49">
        <f t="shared" si="23"/>
        <v>26021814.657043576</v>
      </c>
      <c r="F48" s="231">
        <f t="shared" si="24"/>
        <v>7730945.3429564256</v>
      </c>
      <c r="G48" s="225">
        <f t="shared" si="20"/>
        <v>33752760</v>
      </c>
      <c r="H48" s="225">
        <f t="shared" si="21"/>
        <v>106508676.93649514</v>
      </c>
      <c r="I48" s="185"/>
      <c r="J48" s="6"/>
      <c r="K48" s="5"/>
      <c r="L48" s="38">
        <v>44977</v>
      </c>
      <c r="M48" s="172">
        <f>+'VDF A'!M49</f>
        <v>33752760</v>
      </c>
      <c r="N48" s="39">
        <v>44985</v>
      </c>
      <c r="O48" s="152">
        <v>30</v>
      </c>
      <c r="P48" s="40">
        <f t="shared" si="25"/>
        <v>7730945.3429564256</v>
      </c>
      <c r="Q48" s="236">
        <f t="shared" si="22"/>
        <v>0</v>
      </c>
      <c r="R48" s="238"/>
      <c r="S48" s="238"/>
      <c r="X48" s="143"/>
      <c r="Y48" s="3"/>
      <c r="AC48" s="12"/>
    </row>
    <row r="49" spans="2:29">
      <c r="B49" s="233">
        <v>45098</v>
      </c>
      <c r="C49" s="220">
        <v>0.7</v>
      </c>
      <c r="D49" s="230">
        <f t="shared" ref="D49:D52" si="26">+E49/$H$42</f>
        <v>0.10281934458869593</v>
      </c>
      <c r="E49" s="49">
        <f t="shared" si="23"/>
        <v>26273015.845371116</v>
      </c>
      <c r="F49" s="231">
        <f t="shared" si="24"/>
        <v>6213006.1546288831</v>
      </c>
      <c r="G49" s="225">
        <f t="shared" si="20"/>
        <v>32486022</v>
      </c>
      <c r="H49" s="225">
        <f t="shared" si="21"/>
        <v>80235661.091124028</v>
      </c>
      <c r="I49" s="185"/>
      <c r="J49" s="6"/>
      <c r="K49" s="5"/>
      <c r="L49" s="38">
        <v>45005</v>
      </c>
      <c r="M49" s="172">
        <f>+'VDF A'!M50</f>
        <v>32486022</v>
      </c>
      <c r="N49" s="39">
        <v>45016</v>
      </c>
      <c r="O49" s="152">
        <v>30</v>
      </c>
      <c r="P49" s="40">
        <f t="shared" si="25"/>
        <v>6213006.1546288831</v>
      </c>
      <c r="Q49" s="236">
        <f t="shared" si="22"/>
        <v>0</v>
      </c>
      <c r="R49" s="238"/>
      <c r="S49" s="238"/>
      <c r="X49" s="143"/>
      <c r="Y49" s="3"/>
      <c r="AC49" s="12"/>
    </row>
    <row r="50" spans="2:29">
      <c r="B50" s="233">
        <v>45127</v>
      </c>
      <c r="C50" s="220">
        <v>0.7</v>
      </c>
      <c r="D50" s="230">
        <f t="shared" si="26"/>
        <v>0.10799617822198562</v>
      </c>
      <c r="E50" s="49">
        <f t="shared" ref="E50:E52" si="27">+IF(H49&gt;0,MIN(M50-F50,H49),0)</f>
        <v>27595831.436351098</v>
      </c>
      <c r="F50" s="231">
        <f t="shared" ref="F50:F52" si="28">+MIN($M50,Q49+P50)</f>
        <v>4680413.5636489009</v>
      </c>
      <c r="G50" s="225">
        <f t="shared" ref="G50:G52" si="29">+E50+F50</f>
        <v>32276245</v>
      </c>
      <c r="H50" s="225">
        <f t="shared" ref="H50:H52" si="30">+H49-E50</f>
        <v>52639829.65477293</v>
      </c>
      <c r="I50" s="185"/>
      <c r="J50" s="6"/>
      <c r="K50" s="5"/>
      <c r="L50" s="38">
        <v>45036</v>
      </c>
      <c r="M50" s="172">
        <f>+'VDF A'!M51</f>
        <v>32276245</v>
      </c>
      <c r="N50" s="39">
        <v>45046</v>
      </c>
      <c r="O50" s="152">
        <v>30</v>
      </c>
      <c r="P50" s="40">
        <f t="shared" si="25"/>
        <v>4680413.5636489009</v>
      </c>
      <c r="Q50" s="236">
        <f t="shared" ref="Q50:Q52" si="31">+Q49+P50-F50</f>
        <v>0</v>
      </c>
      <c r="R50" s="238"/>
      <c r="S50" s="238"/>
      <c r="X50" s="143"/>
      <c r="Y50" s="3"/>
      <c r="AC50" s="12"/>
    </row>
    <row r="51" spans="2:29">
      <c r="B51" s="233">
        <v>45159</v>
      </c>
      <c r="C51" s="220">
        <v>0.7</v>
      </c>
      <c r="D51" s="230">
        <f t="shared" si="26"/>
        <v>0.11319361736237504</v>
      </c>
      <c r="E51" s="49">
        <f t="shared" si="27"/>
        <v>28923912.270138245</v>
      </c>
      <c r="F51" s="231">
        <f t="shared" si="28"/>
        <v>3070656.7298617545</v>
      </c>
      <c r="G51" s="225">
        <f t="shared" si="29"/>
        <v>31994569</v>
      </c>
      <c r="H51" s="225">
        <f t="shared" si="30"/>
        <v>23715917.384634685</v>
      </c>
      <c r="I51" s="185"/>
      <c r="J51" s="6"/>
      <c r="K51" s="5"/>
      <c r="L51" s="38">
        <v>45068</v>
      </c>
      <c r="M51" s="172">
        <f>+'VDF A'!M52</f>
        <v>31994569</v>
      </c>
      <c r="N51" s="39">
        <v>45077</v>
      </c>
      <c r="O51" s="152">
        <v>30</v>
      </c>
      <c r="P51" s="40">
        <f t="shared" si="25"/>
        <v>3070656.7298617545</v>
      </c>
      <c r="Q51" s="236">
        <f t="shared" si="31"/>
        <v>0</v>
      </c>
      <c r="R51" s="238"/>
      <c r="S51" s="238"/>
      <c r="X51" s="143"/>
      <c r="Y51" s="3"/>
      <c r="AC51" s="12"/>
    </row>
    <row r="52" spans="2:29">
      <c r="B52" s="233">
        <v>45189</v>
      </c>
      <c r="C52" s="220">
        <v>0.7</v>
      </c>
      <c r="D52" s="230">
        <f t="shared" si="26"/>
        <v>9.2812149779805911E-2</v>
      </c>
      <c r="E52" s="49">
        <f t="shared" si="27"/>
        <v>23715917.384634685</v>
      </c>
      <c r="F52" s="231">
        <f t="shared" si="28"/>
        <v>1383428.5141036899</v>
      </c>
      <c r="G52" s="225">
        <f t="shared" si="29"/>
        <v>25099345.898738373</v>
      </c>
      <c r="H52" s="225">
        <f t="shared" si="30"/>
        <v>0</v>
      </c>
      <c r="I52" s="185"/>
      <c r="J52" s="6"/>
      <c r="K52" s="5"/>
      <c r="L52" s="42">
        <v>45098</v>
      </c>
      <c r="M52" s="175">
        <f>+'VDF A'!M53</f>
        <v>27773557</v>
      </c>
      <c r="N52" s="43">
        <v>45107</v>
      </c>
      <c r="O52" s="240">
        <v>30</v>
      </c>
      <c r="P52" s="44">
        <f t="shared" si="25"/>
        <v>1383428.5141036899</v>
      </c>
      <c r="Q52" s="237">
        <f t="shared" si="31"/>
        <v>0</v>
      </c>
      <c r="R52" s="238"/>
      <c r="S52" s="238"/>
      <c r="X52" s="143"/>
      <c r="Y52" s="3"/>
      <c r="AC52" s="12"/>
    </row>
    <row r="53" spans="2:29">
      <c r="B53" s="67"/>
      <c r="C53" s="68"/>
      <c r="D53" s="125">
        <f>SUM(D43:D52)</f>
        <v>0.99999999999999989</v>
      </c>
      <c r="E53" s="70">
        <f>SUM(E43:E52)</f>
        <v>255526000</v>
      </c>
      <c r="F53" s="70">
        <f>SUM(F43:F52)</f>
        <v>83628015.898738369</v>
      </c>
      <c r="G53" s="70">
        <f>SUM(G43:G52)</f>
        <v>339154015.89873838</v>
      </c>
      <c r="H53" s="72"/>
      <c r="I53" s="186"/>
      <c r="J53" s="6"/>
      <c r="K53" s="6"/>
      <c r="L53" s="35"/>
      <c r="M53" s="172"/>
      <c r="N53" s="174"/>
      <c r="O53" s="173"/>
      <c r="P53" s="41"/>
      <c r="Q53" s="238"/>
      <c r="R53" s="154"/>
      <c r="S53" s="154"/>
    </row>
    <row r="54" spans="2:29">
      <c r="E54" s="129"/>
      <c r="F54" s="52"/>
      <c r="G54" s="52"/>
      <c r="I54" s="6"/>
      <c r="L54" s="174"/>
      <c r="M54" s="172"/>
      <c r="N54" s="174"/>
      <c r="O54" s="144"/>
      <c r="P54" s="41"/>
      <c r="Q54" s="169"/>
      <c r="R54" s="154"/>
      <c r="S54" s="154"/>
    </row>
    <row r="55" spans="2:29" hidden="1">
      <c r="M55" s="172"/>
      <c r="N55" s="226"/>
      <c r="O55" s="202"/>
      <c r="P55" s="41"/>
      <c r="Q55" s="154"/>
      <c r="R55" s="154"/>
      <c r="S55" s="154"/>
    </row>
    <row r="56" spans="2:29" ht="12.75" customHeight="1"/>
    <row r="57" spans="2:29" ht="12.75" customHeight="1"/>
    <row r="58" spans="2:29" ht="12.75" customHeight="1"/>
    <row r="59" spans="2:29" ht="12.75" customHeight="1"/>
    <row r="60" spans="2:29" ht="12.75" customHeight="1"/>
    <row r="61" spans="2:29" ht="12.75" customHeight="1"/>
    <row r="62" spans="2:29" ht="12.75" customHeight="1"/>
    <row r="63" spans="2:29"/>
    <row r="64" spans="2:29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</sheetData>
  <mergeCells count="10">
    <mergeCell ref="B39:H39"/>
    <mergeCell ref="B40:H40"/>
    <mergeCell ref="N40:Q40"/>
    <mergeCell ref="L1:O1"/>
    <mergeCell ref="A6:J6"/>
    <mergeCell ref="B8:E8"/>
    <mergeCell ref="B9:E10"/>
    <mergeCell ref="B21:I21"/>
    <mergeCell ref="B20:I20"/>
    <mergeCell ref="N21:Q21"/>
  </mergeCells>
  <conditionalFormatting sqref="F34:H38 E53:G53 F24:F33 O43:O53">
    <cfRule type="cellIs" dxfId="3" priority="7" stopIfTrue="1" operator="equal">
      <formula>0</formula>
    </cfRule>
  </conditionalFormatting>
  <conditionalFormatting sqref="E43:E52">
    <cfRule type="cellIs" dxfId="2" priority="6" stopIfTrue="1" operator="equal">
      <formula>0</formula>
    </cfRule>
  </conditionalFormatting>
  <conditionalFormatting sqref="O24:O33">
    <cfRule type="cellIs" dxfId="1" priority="5" stopIfTrue="1" operator="equal">
      <formula>0</formula>
    </cfRule>
  </conditionalFormatting>
  <pageMargins left="0.7" right="0.7" top="0.75" bottom="0.75" header="0.3" footer="0.3"/>
  <ignoredErrors>
    <ignoredError sqref="C24:C33 G12 D35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showGridLines="0" workbookViewId="0"/>
  </sheetViews>
  <sheetFormatPr baseColWidth="10" defaultColWidth="0" defaultRowHeight="12.75"/>
  <cols>
    <col min="1" max="1" width="13.85546875" style="84" customWidth="1"/>
    <col min="2" max="2" width="10.7109375" style="84" bestFit="1" customWidth="1"/>
    <col min="3" max="3" width="15.42578125" style="84" customWidth="1"/>
    <col min="4" max="4" width="12.140625" style="84" customWidth="1"/>
    <col min="5" max="5" width="13.7109375" style="84" customWidth="1"/>
    <col min="6" max="6" width="17.42578125" style="84" customWidth="1"/>
    <col min="7" max="7" width="15.28515625" style="84" bestFit="1" customWidth="1"/>
    <col min="8" max="8" width="14.85546875" style="84" bestFit="1" customWidth="1"/>
    <col min="9" max="9" width="17.42578125" style="84" bestFit="1" customWidth="1"/>
    <col min="10" max="10" width="13" style="84" customWidth="1"/>
    <col min="11" max="11" width="1.28515625" style="84" customWidth="1"/>
    <col min="12" max="12" width="0.28515625" style="131" customWidth="1"/>
    <col min="13" max="13" width="13.7109375" style="86" hidden="1" customWidth="1"/>
    <col min="14" max="14" width="17.42578125" style="86" hidden="1" customWidth="1"/>
    <col min="15" max="15" width="14.42578125" style="86" hidden="1" customWidth="1"/>
    <col min="16" max="16" width="12.28515625" style="86" hidden="1" customWidth="1"/>
    <col min="17" max="17" width="17.28515625" style="86" hidden="1" customWidth="1"/>
    <col min="18" max="20" width="18" style="86" hidden="1" customWidth="1"/>
    <col min="21" max="21" width="14.85546875" style="86" hidden="1" customWidth="1"/>
    <col min="22" max="23" width="17.42578125" style="86" hidden="1" customWidth="1"/>
    <col min="24" max="24" width="16.42578125" style="87" hidden="1" customWidth="1"/>
    <col min="25" max="25" width="13.85546875" style="86" hidden="1" customWidth="1"/>
    <col min="26" max="26" width="14.140625" style="86" hidden="1" customWidth="1"/>
    <col min="27" max="27" width="14.42578125" style="86" hidden="1" customWidth="1"/>
    <col min="28" max="29" width="11.7109375" style="86" hidden="1" customWidth="1"/>
    <col min="30" max="30" width="12.28515625" style="86" hidden="1" customWidth="1"/>
    <col min="31" max="31" width="16.5703125" style="88" hidden="1" customWidth="1"/>
    <col min="32" max="16384" width="11.42578125" style="84" hidden="1"/>
  </cols>
  <sheetData>
    <row r="1" spans="1:31">
      <c r="I1" s="85"/>
      <c r="M1" s="307"/>
      <c r="N1" s="307"/>
      <c r="O1" s="307"/>
      <c r="P1" s="307"/>
    </row>
    <row r="2" spans="1:31">
      <c r="I2" s="85"/>
      <c r="M2" s="270"/>
      <c r="N2" s="270"/>
      <c r="O2" s="270"/>
      <c r="P2" s="270"/>
    </row>
    <row r="3" spans="1:31">
      <c r="I3" s="85"/>
      <c r="M3" s="270"/>
      <c r="N3" s="270"/>
      <c r="O3" s="270"/>
      <c r="P3" s="270"/>
    </row>
    <row r="4" spans="1:31">
      <c r="A4" s="89"/>
      <c r="B4" s="85"/>
      <c r="C4" s="85"/>
      <c r="D4" s="85"/>
      <c r="E4" s="85"/>
      <c r="F4" s="85"/>
      <c r="G4" s="85"/>
      <c r="H4" s="85"/>
      <c r="I4" s="85"/>
      <c r="J4" s="85"/>
      <c r="K4" s="85"/>
      <c r="L4" s="132"/>
      <c r="N4" s="90"/>
      <c r="O4" s="91"/>
    </row>
    <row r="5" spans="1:31">
      <c r="A5" s="89"/>
      <c r="B5" s="85"/>
      <c r="C5" s="85"/>
      <c r="D5" s="85"/>
      <c r="E5" s="85"/>
      <c r="F5" s="85"/>
      <c r="G5" s="85"/>
      <c r="H5" s="85"/>
      <c r="I5" s="85"/>
      <c r="J5" s="85"/>
      <c r="K5" s="85"/>
      <c r="L5" s="132"/>
      <c r="N5" s="90"/>
      <c r="O5" s="91"/>
    </row>
    <row r="6" spans="1:31" ht="23.25">
      <c r="A6" s="294" t="s">
        <v>43</v>
      </c>
      <c r="B6" s="295"/>
      <c r="C6" s="295"/>
      <c r="D6" s="295"/>
      <c r="E6" s="295"/>
      <c r="F6" s="295"/>
      <c r="G6" s="295"/>
      <c r="H6" s="295"/>
      <c r="I6" s="295"/>
      <c r="J6" s="141"/>
      <c r="K6" s="85"/>
      <c r="L6" s="132"/>
      <c r="N6" s="90"/>
    </row>
    <row r="7" spans="1:31" ht="15.75" customHeight="1">
      <c r="A7" s="268"/>
      <c r="B7" s="269"/>
      <c r="C7" s="269"/>
      <c r="D7" s="269"/>
      <c r="E7" s="269"/>
      <c r="F7" s="269"/>
      <c r="G7" s="269"/>
      <c r="H7" s="269"/>
      <c r="I7" s="269"/>
      <c r="J7" s="141"/>
      <c r="K7" s="85"/>
      <c r="L7" s="132"/>
      <c r="N7" s="90"/>
    </row>
    <row r="8" spans="1:31" ht="15" customHeight="1">
      <c r="A8" s="268"/>
      <c r="B8" s="282" t="s">
        <v>31</v>
      </c>
      <c r="C8" s="282"/>
      <c r="D8" s="282"/>
      <c r="E8" s="282"/>
      <c r="F8" s="269"/>
      <c r="G8" s="269"/>
      <c r="H8" s="269"/>
      <c r="I8" s="269"/>
      <c r="J8" s="141"/>
      <c r="K8" s="85"/>
      <c r="L8" s="132"/>
      <c r="N8" s="90"/>
    </row>
    <row r="9" spans="1:31" ht="23.25" customHeight="1">
      <c r="A9" s="268"/>
      <c r="B9" s="287" t="s">
        <v>41</v>
      </c>
      <c r="C9" s="288"/>
      <c r="D9" s="288"/>
      <c r="E9" s="289"/>
      <c r="F9" s="269"/>
      <c r="G9" s="269"/>
      <c r="H9" s="269"/>
      <c r="I9" s="269"/>
      <c r="J9" s="141"/>
      <c r="K9" s="85"/>
      <c r="L9" s="132"/>
      <c r="N9" s="90"/>
    </row>
    <row r="10" spans="1:31" ht="14.25" customHeight="1">
      <c r="A10" s="268"/>
      <c r="B10" s="298"/>
      <c r="C10" s="299"/>
      <c r="D10" s="299"/>
      <c r="E10" s="300"/>
      <c r="F10" s="269"/>
      <c r="G10" s="269"/>
      <c r="H10" s="269"/>
      <c r="I10" s="269"/>
      <c r="J10" s="141"/>
      <c r="K10" s="85"/>
      <c r="L10" s="132"/>
      <c r="N10" s="90"/>
    </row>
    <row r="11" spans="1:31" ht="13.5" customHeight="1">
      <c r="A11" s="268"/>
      <c r="B11" s="183"/>
      <c r="C11" s="183"/>
      <c r="D11" s="183"/>
      <c r="E11" s="183"/>
      <c r="F11" s="269"/>
      <c r="G11" s="269"/>
      <c r="H11" s="269"/>
      <c r="I11" s="269"/>
      <c r="J11" s="141"/>
      <c r="K11" s="85"/>
      <c r="L11" s="132"/>
      <c r="N11" s="90"/>
    </row>
    <row r="12" spans="1:31">
      <c r="A12" s="89"/>
      <c r="B12" s="85"/>
      <c r="C12" s="22" t="s">
        <v>12</v>
      </c>
      <c r="D12" s="80">
        <v>19951000</v>
      </c>
      <c r="E12" s="9"/>
      <c r="F12" s="22" t="s">
        <v>13</v>
      </c>
      <c r="G12" s="81">
        <v>0.77014000000000005</v>
      </c>
      <c r="H12" s="1"/>
      <c r="J12" s="85"/>
      <c r="K12" s="85"/>
      <c r="L12" s="132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117"/>
    </row>
    <row r="13" spans="1:31">
      <c r="A13" s="89"/>
      <c r="B13" s="85"/>
      <c r="C13" s="22"/>
      <c r="D13" s="234"/>
      <c r="E13" s="147"/>
      <c r="F13" s="146" t="s">
        <v>7</v>
      </c>
      <c r="G13" s="119">
        <f>+V45/Q14</f>
        <v>1.0000002541877437</v>
      </c>
      <c r="H13" s="187"/>
      <c r="I13" s="181"/>
      <c r="J13" s="85"/>
      <c r="K13" s="85"/>
      <c r="L13" s="132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87"/>
      <c r="AD13" s="88"/>
      <c r="AE13" s="84"/>
    </row>
    <row r="14" spans="1:31">
      <c r="A14" s="89"/>
      <c r="B14" s="85"/>
      <c r="C14" s="22" t="s">
        <v>9</v>
      </c>
      <c r="D14" s="23">
        <v>0.02</v>
      </c>
      <c r="E14" s="9"/>
      <c r="F14" s="145" t="s">
        <v>10</v>
      </c>
      <c r="G14" s="83">
        <f>+V39</f>
        <v>10.920191402733799</v>
      </c>
      <c r="H14" s="257"/>
      <c r="J14" s="92"/>
      <c r="K14" s="85"/>
      <c r="L14" s="132"/>
      <c r="M14" s="10"/>
      <c r="N14" s="12"/>
      <c r="O14" s="12"/>
      <c r="P14" s="13" t="s">
        <v>12</v>
      </c>
      <c r="Q14" s="14">
        <f>+D12</f>
        <v>19951000</v>
      </c>
      <c r="R14" s="15"/>
      <c r="S14" s="15"/>
      <c r="T14" s="15"/>
      <c r="U14" s="15"/>
      <c r="V14" s="15"/>
      <c r="W14" s="16"/>
      <c r="X14" s="10"/>
      <c r="Y14" s="87"/>
      <c r="Z14" s="93"/>
      <c r="AD14" s="88"/>
      <c r="AE14" s="84"/>
    </row>
    <row r="15" spans="1:31">
      <c r="A15" s="89"/>
      <c r="B15" s="85"/>
      <c r="C15" s="22" t="s">
        <v>16</v>
      </c>
      <c r="D15" s="23">
        <v>0.71</v>
      </c>
      <c r="E15" s="9"/>
      <c r="F15" s="22" t="s">
        <v>11</v>
      </c>
      <c r="G15" s="25">
        <f>+XIRR(H23:H36,B23:B36)</f>
        <v>0.77017272710800189</v>
      </c>
      <c r="H15" s="25"/>
      <c r="J15" s="85"/>
      <c r="K15" s="85"/>
      <c r="L15" s="132"/>
      <c r="M15" s="10"/>
      <c r="N15" s="12"/>
      <c r="O15" s="12"/>
      <c r="P15" s="18" t="s">
        <v>13</v>
      </c>
      <c r="Q15" s="19">
        <f>+G12</f>
        <v>0.77014000000000005</v>
      </c>
      <c r="R15" s="20"/>
      <c r="S15" s="20"/>
      <c r="T15" s="20"/>
      <c r="U15" s="20"/>
      <c r="V15" s="20"/>
      <c r="W15" s="20"/>
      <c r="X15" s="10"/>
      <c r="Y15" s="87"/>
      <c r="Z15" s="93"/>
      <c r="AD15" s="88"/>
      <c r="AE15" s="84"/>
    </row>
    <row r="16" spans="1:31">
      <c r="A16" s="89"/>
      <c r="B16" s="85"/>
      <c r="C16" s="22" t="s">
        <v>17</v>
      </c>
      <c r="D16" s="23">
        <v>0.86</v>
      </c>
      <c r="E16" s="9"/>
      <c r="F16" s="22" t="s">
        <v>14</v>
      </c>
      <c r="G16" s="25">
        <f>+((1+G15)^(1/12)-1)*12</f>
        <v>0.58488399008540082</v>
      </c>
      <c r="H16" s="17"/>
      <c r="J16" s="85"/>
      <c r="K16" s="85"/>
      <c r="L16" s="132"/>
      <c r="M16" s="10"/>
      <c r="N16" s="12"/>
      <c r="O16" s="12"/>
      <c r="P16" s="21"/>
      <c r="Q16" s="20"/>
      <c r="R16" s="20"/>
      <c r="S16" s="20"/>
      <c r="T16" s="20"/>
      <c r="U16" s="20"/>
      <c r="V16" s="20"/>
      <c r="W16" s="20"/>
      <c r="X16" s="10"/>
      <c r="Y16" s="87"/>
      <c r="Z16" s="93"/>
      <c r="AD16" s="88"/>
      <c r="AE16" s="84"/>
    </row>
    <row r="17" spans="1:31">
      <c r="A17" s="89"/>
      <c r="B17" s="85"/>
      <c r="E17" s="9"/>
      <c r="F17" s="22" t="s">
        <v>15</v>
      </c>
      <c r="G17" s="25">
        <f>+(G16-D38)</f>
        <v>-0.1069910099145992</v>
      </c>
      <c r="H17" s="121" t="s">
        <v>34</v>
      </c>
      <c r="J17" s="85"/>
      <c r="K17" s="85"/>
      <c r="L17" s="132"/>
      <c r="M17" s="10"/>
      <c r="N17" s="12"/>
      <c r="O17" s="12"/>
      <c r="P17" s="21"/>
      <c r="Q17" s="20"/>
      <c r="R17" s="20"/>
      <c r="S17" s="20"/>
      <c r="T17" s="20"/>
      <c r="U17" s="20"/>
      <c r="V17" s="20"/>
      <c r="W17" s="20"/>
      <c r="X17" s="10"/>
      <c r="Y17" s="87"/>
      <c r="Z17" s="93"/>
      <c r="AD17" s="88"/>
      <c r="AE17" s="84"/>
    </row>
    <row r="18" spans="1:31">
      <c r="A18" s="89"/>
      <c r="B18" s="85"/>
      <c r="C18" s="22"/>
      <c r="D18" s="23"/>
      <c r="E18" s="9"/>
      <c r="F18" s="22" t="s">
        <v>14</v>
      </c>
      <c r="G18" s="25">
        <f>+((1+G12)^(1/12)-1)*12</f>
        <v>0.58486460071822499</v>
      </c>
      <c r="H18" s="24" t="s">
        <v>19</v>
      </c>
      <c r="J18" s="85"/>
      <c r="K18" s="85"/>
      <c r="L18" s="132"/>
      <c r="M18" s="10"/>
      <c r="N18" s="12"/>
      <c r="O18" s="12"/>
      <c r="P18" s="21"/>
      <c r="Q18" s="20"/>
      <c r="R18" s="20"/>
      <c r="S18" s="20"/>
      <c r="T18" s="20"/>
      <c r="U18" s="20"/>
      <c r="V18" s="20"/>
      <c r="W18" s="20"/>
      <c r="X18" s="10"/>
      <c r="Y18" s="87"/>
      <c r="Z18" s="93"/>
      <c r="AD18" s="88"/>
      <c r="AE18" s="84"/>
    </row>
    <row r="19" spans="1:31">
      <c r="A19" s="89"/>
      <c r="B19" s="85"/>
      <c r="C19" s="22"/>
      <c r="D19" s="23"/>
      <c r="E19" s="9"/>
      <c r="F19" s="22"/>
      <c r="G19" s="25"/>
      <c r="H19" s="24"/>
      <c r="J19" s="85"/>
      <c r="K19" s="85"/>
      <c r="L19" s="132"/>
      <c r="M19" s="10"/>
      <c r="N19" s="12"/>
      <c r="O19" s="12"/>
      <c r="P19" s="21"/>
      <c r="Q19" s="20"/>
      <c r="R19" s="20"/>
      <c r="S19" s="20"/>
      <c r="T19" s="20"/>
      <c r="U19" s="20"/>
      <c r="V19" s="20"/>
      <c r="W19" s="20"/>
      <c r="X19" s="10"/>
      <c r="Y19" s="87"/>
      <c r="Z19" s="93"/>
      <c r="AD19" s="88"/>
      <c r="AE19" s="84"/>
    </row>
    <row r="20" spans="1:31" ht="15">
      <c r="A20" s="89"/>
      <c r="B20" s="283" t="s">
        <v>36</v>
      </c>
      <c r="C20" s="283"/>
      <c r="D20" s="283"/>
      <c r="E20" s="283"/>
      <c r="F20" s="283"/>
      <c r="G20" s="283"/>
      <c r="H20" s="283"/>
      <c r="I20" s="283"/>
      <c r="J20" s="85"/>
      <c r="K20" s="85"/>
      <c r="L20" s="132"/>
      <c r="M20" s="10"/>
      <c r="N20" s="12"/>
      <c r="O20" s="12"/>
      <c r="P20" s="21"/>
      <c r="Q20" s="20"/>
      <c r="R20" s="20"/>
      <c r="S20" s="20"/>
      <c r="T20" s="20"/>
      <c r="U20" s="20"/>
      <c r="V20" s="20"/>
      <c r="W20" s="20"/>
      <c r="X20" s="10"/>
      <c r="Y20" s="87"/>
      <c r="Z20" s="93"/>
      <c r="AD20" s="88"/>
      <c r="AE20" s="84"/>
    </row>
    <row r="21" spans="1:31">
      <c r="A21" s="89"/>
      <c r="B21" s="278" t="s">
        <v>27</v>
      </c>
      <c r="C21" s="279"/>
      <c r="D21" s="279"/>
      <c r="E21" s="279"/>
      <c r="F21" s="279"/>
      <c r="G21" s="279"/>
      <c r="H21" s="279"/>
      <c r="I21" s="280"/>
      <c r="J21" s="85"/>
      <c r="K21" s="85"/>
      <c r="L21" s="132"/>
      <c r="M21" s="10"/>
      <c r="N21" s="10"/>
      <c r="O21" s="304" t="s">
        <v>18</v>
      </c>
      <c r="P21" s="305"/>
      <c r="Q21" s="305"/>
      <c r="R21" s="306"/>
      <c r="S21" s="245"/>
      <c r="T21" s="26"/>
      <c r="U21" s="26"/>
      <c r="V21" s="26"/>
      <c r="W21" s="26"/>
      <c r="X21" s="12"/>
      <c r="Y21" s="88"/>
      <c r="Z21" s="88"/>
      <c r="AA21" s="88"/>
      <c r="AB21" s="88"/>
      <c r="AC21" s="88"/>
      <c r="AD21" s="88"/>
      <c r="AE21" s="84"/>
    </row>
    <row r="22" spans="1:31" ht="25.5">
      <c r="A22" s="94"/>
      <c r="B22" s="64" t="s">
        <v>0</v>
      </c>
      <c r="C22" s="64" t="s">
        <v>32</v>
      </c>
      <c r="D22" s="65" t="s">
        <v>28</v>
      </c>
      <c r="E22" s="65" t="s">
        <v>6</v>
      </c>
      <c r="F22" s="66" t="s">
        <v>1</v>
      </c>
      <c r="G22" s="59" t="s">
        <v>2</v>
      </c>
      <c r="H22" s="66" t="s">
        <v>4</v>
      </c>
      <c r="I22" s="66" t="s">
        <v>8</v>
      </c>
      <c r="J22" s="95"/>
      <c r="K22" s="96"/>
      <c r="L22" s="133"/>
      <c r="M22" s="28" t="s">
        <v>0</v>
      </c>
      <c r="N22" s="29" t="s">
        <v>20</v>
      </c>
      <c r="O22" s="28" t="s">
        <v>23</v>
      </c>
      <c r="P22" s="28" t="s">
        <v>3</v>
      </c>
      <c r="Q22" s="28" t="s">
        <v>21</v>
      </c>
      <c r="R22" s="28" t="s">
        <v>22</v>
      </c>
      <c r="S22" s="30"/>
      <c r="T22" s="30" t="s">
        <v>3</v>
      </c>
      <c r="U22" s="30" t="s">
        <v>24</v>
      </c>
      <c r="V22" s="30" t="s">
        <v>5</v>
      </c>
      <c r="W22" s="30"/>
      <c r="X22" s="29" t="s">
        <v>20</v>
      </c>
      <c r="Y22" s="88"/>
      <c r="Z22" s="88"/>
      <c r="AA22" s="88"/>
      <c r="AB22" s="88"/>
      <c r="AC22" s="88"/>
      <c r="AD22" s="88"/>
      <c r="AE22" s="84"/>
    </row>
    <row r="23" spans="1:31">
      <c r="A23" s="89"/>
      <c r="B23" s="73">
        <v>44895</v>
      </c>
      <c r="C23" s="73"/>
      <c r="D23" s="74"/>
      <c r="E23" s="75"/>
      <c r="F23" s="76"/>
      <c r="G23" s="76"/>
      <c r="H23" s="77">
        <f>+D12*G13*-1</f>
        <v>-19951005.071299676</v>
      </c>
      <c r="I23" s="76">
        <f>+D12</f>
        <v>19951000</v>
      </c>
      <c r="J23" s="97"/>
      <c r="K23" s="85"/>
      <c r="L23" s="132"/>
      <c r="M23" s="33">
        <v>44895</v>
      </c>
      <c r="N23" s="150"/>
      <c r="O23" s="32">
        <v>44804</v>
      </c>
      <c r="P23" s="151"/>
      <c r="Q23" s="31"/>
      <c r="R23" s="33"/>
      <c r="S23" s="35"/>
      <c r="T23" s="34">
        <f t="shared" ref="T23:T31" si="0">+M23-$B$23</f>
        <v>0</v>
      </c>
      <c r="U23" s="35"/>
      <c r="V23" s="35"/>
      <c r="W23" s="35"/>
      <c r="X23" s="12"/>
      <c r="Y23" s="88"/>
      <c r="Z23" s="88"/>
      <c r="AA23" s="88"/>
      <c r="AB23" s="88"/>
      <c r="AC23" s="88"/>
      <c r="AD23" s="88"/>
      <c r="AE23" s="84"/>
    </row>
    <row r="24" spans="1:31">
      <c r="A24" s="98"/>
      <c r="B24" s="73">
        <v>44915</v>
      </c>
      <c r="C24" s="128">
        <f>+'VDF A'!C24</f>
        <v>0.69187500000000002</v>
      </c>
      <c r="D24" s="78">
        <f>IF(C24+$D$14&lt;$D$15,$D$15,IF(C24+$D$14&gt;$D$16,$D$16,C24+$D$14))</f>
        <v>0.71187500000000004</v>
      </c>
      <c r="E24" s="48">
        <f>+F24/$I$23</f>
        <v>0</v>
      </c>
      <c r="F24" s="77">
        <f>+IF(I23&gt;0,MIN(N24-G24,I23),0)</f>
        <v>0</v>
      </c>
      <c r="G24" s="79">
        <f>+MIN($N24,R23+Q24)</f>
        <v>0</v>
      </c>
      <c r="H24" s="76">
        <f t="shared" ref="H24:H27" si="1">+F24+G24</f>
        <v>0</v>
      </c>
      <c r="I24" s="76">
        <f>+I23-F24</f>
        <v>19951000</v>
      </c>
      <c r="J24" s="253"/>
      <c r="K24" s="85"/>
      <c r="L24" s="132"/>
      <c r="M24" s="38">
        <v>44915</v>
      </c>
      <c r="N24" s="172">
        <f t="shared" ref="N24:N36" si="2">+X24*$U$45</f>
        <v>0</v>
      </c>
      <c r="O24" s="39">
        <v>44834</v>
      </c>
      <c r="P24" s="152">
        <v>30</v>
      </c>
      <c r="Q24" s="40">
        <f>+I23*(D24)/360*P24</f>
        <v>1183551.5104166667</v>
      </c>
      <c r="R24" s="40">
        <f>+R23+Q24-G24</f>
        <v>1183551.5104166667</v>
      </c>
      <c r="S24" s="41"/>
      <c r="T24" s="34">
        <f t="shared" si="0"/>
        <v>20</v>
      </c>
      <c r="U24" s="41">
        <f t="shared" ref="U24" si="3">+H24/(1+$G$15)^(T24/360)</f>
        <v>0</v>
      </c>
      <c r="V24" s="41">
        <f>+U24*T24</f>
        <v>0</v>
      </c>
      <c r="W24" s="188">
        <v>37423856</v>
      </c>
      <c r="X24" s="232">
        <f>+W24-'VDF A teórico'!H24</f>
        <v>0</v>
      </c>
      <c r="Y24" s="154"/>
      <c r="Z24" s="88"/>
      <c r="AA24" s="88"/>
      <c r="AB24" s="88"/>
      <c r="AC24" s="88"/>
      <c r="AD24" s="88"/>
      <c r="AE24" s="84"/>
    </row>
    <row r="25" spans="1:31">
      <c r="A25" s="98"/>
      <c r="B25" s="73">
        <v>44946</v>
      </c>
      <c r="C25" s="128">
        <f>+'VDF A'!C25</f>
        <v>0.68559999999999999</v>
      </c>
      <c r="D25" s="78">
        <f t="shared" ref="D25:D31" si="4">IF(C25+$D$14&lt;$D$15,$D$15,IF(C25+$D$14&gt;$D$16,$D$16,C25+$D$14))</f>
        <v>0.71</v>
      </c>
      <c r="E25" s="48">
        <f t="shared" ref="E25:E31" si="5">+F25/$I$23</f>
        <v>0</v>
      </c>
      <c r="F25" s="77">
        <f t="shared" ref="F25:F27" si="6">+IF(I24&gt;0,MIN(N25-G25,I24),0)</f>
        <v>0</v>
      </c>
      <c r="G25" s="79">
        <f t="shared" ref="G25:G27" si="7">+MIN($N25,R24+Q25)</f>
        <v>0</v>
      </c>
      <c r="H25" s="76">
        <f t="shared" si="1"/>
        <v>0</v>
      </c>
      <c r="I25" s="76">
        <f t="shared" ref="I25:I27" si="8">+I24-F25</f>
        <v>19951000</v>
      </c>
      <c r="J25" s="253"/>
      <c r="K25" s="85"/>
      <c r="L25" s="132"/>
      <c r="M25" s="38">
        <v>44946</v>
      </c>
      <c r="N25" s="172">
        <f t="shared" si="2"/>
        <v>0</v>
      </c>
      <c r="O25" s="39">
        <v>44865</v>
      </c>
      <c r="P25" s="152">
        <v>30</v>
      </c>
      <c r="Q25" s="40">
        <f t="shared" ref="Q25:Q33" si="9">+I24*(D25)/360*P25</f>
        <v>1180434.1666666667</v>
      </c>
      <c r="R25" s="40">
        <f t="shared" ref="R25:R31" si="10">+R24+Q25-G25</f>
        <v>2363985.6770833335</v>
      </c>
      <c r="S25" s="41"/>
      <c r="T25" s="34">
        <f t="shared" si="0"/>
        <v>51</v>
      </c>
      <c r="U25" s="41">
        <f t="shared" ref="U25:U36" si="11">+H25/(1+$G$15)^(T25/360)</f>
        <v>0</v>
      </c>
      <c r="V25" s="41">
        <f t="shared" ref="V25:V36" si="12">+U25*T25</f>
        <v>0</v>
      </c>
      <c r="W25" s="188">
        <v>38173615</v>
      </c>
      <c r="X25" s="232">
        <f>+W25-'VDF A teórico'!H25</f>
        <v>0</v>
      </c>
      <c r="Y25" s="154"/>
      <c r="Z25" s="88"/>
      <c r="AA25" s="88"/>
      <c r="AB25" s="88"/>
      <c r="AC25" s="88"/>
      <c r="AD25" s="88"/>
      <c r="AE25" s="84"/>
    </row>
    <row r="26" spans="1:31">
      <c r="A26" s="98"/>
      <c r="B26" s="73">
        <v>44977</v>
      </c>
      <c r="C26" s="128">
        <f>+'VDF A'!C26</f>
        <v>0.68559999999999999</v>
      </c>
      <c r="D26" s="78">
        <f t="shared" si="4"/>
        <v>0.71</v>
      </c>
      <c r="E26" s="48">
        <f t="shared" si="5"/>
        <v>0</v>
      </c>
      <c r="F26" s="77">
        <f t="shared" si="6"/>
        <v>0</v>
      </c>
      <c r="G26" s="79">
        <f t="shared" si="7"/>
        <v>0</v>
      </c>
      <c r="H26" s="76">
        <f t="shared" si="1"/>
        <v>0</v>
      </c>
      <c r="I26" s="76">
        <f t="shared" si="8"/>
        <v>19951000</v>
      </c>
      <c r="J26" s="253"/>
      <c r="K26" s="85"/>
      <c r="L26" s="132"/>
      <c r="M26" s="38">
        <v>44977</v>
      </c>
      <c r="N26" s="172">
        <f t="shared" si="2"/>
        <v>0</v>
      </c>
      <c r="O26" s="39">
        <v>44895</v>
      </c>
      <c r="P26" s="152">
        <v>30</v>
      </c>
      <c r="Q26" s="40">
        <f t="shared" si="9"/>
        <v>1180434.1666666667</v>
      </c>
      <c r="R26" s="40">
        <f t="shared" si="10"/>
        <v>3544419.84375</v>
      </c>
      <c r="S26" s="41"/>
      <c r="T26" s="34">
        <f t="shared" si="0"/>
        <v>82</v>
      </c>
      <c r="U26" s="41">
        <f t="shared" si="11"/>
        <v>0</v>
      </c>
      <c r="V26" s="41">
        <f t="shared" si="12"/>
        <v>0</v>
      </c>
      <c r="W26" s="188">
        <v>37350914</v>
      </c>
      <c r="X26" s="232">
        <f>+W26-'VDF A teórico'!H26</f>
        <v>0</v>
      </c>
      <c r="Y26" s="154"/>
      <c r="Z26" s="88"/>
      <c r="AA26" s="88"/>
      <c r="AB26" s="88"/>
      <c r="AC26" s="88"/>
      <c r="AD26" s="88"/>
      <c r="AE26" s="84"/>
    </row>
    <row r="27" spans="1:31">
      <c r="A27" s="98"/>
      <c r="B27" s="73">
        <v>45005</v>
      </c>
      <c r="C27" s="128">
        <f>+'VDF A'!C27</f>
        <v>0.68559999999999999</v>
      </c>
      <c r="D27" s="78">
        <f t="shared" si="4"/>
        <v>0.71</v>
      </c>
      <c r="E27" s="48">
        <f t="shared" si="5"/>
        <v>0</v>
      </c>
      <c r="F27" s="77">
        <f t="shared" si="6"/>
        <v>0</v>
      </c>
      <c r="G27" s="79">
        <f t="shared" si="7"/>
        <v>0</v>
      </c>
      <c r="H27" s="76">
        <f t="shared" si="1"/>
        <v>0</v>
      </c>
      <c r="I27" s="76">
        <f t="shared" si="8"/>
        <v>19951000</v>
      </c>
      <c r="J27" s="253"/>
      <c r="K27" s="85"/>
      <c r="L27" s="132"/>
      <c r="M27" s="38">
        <v>45005</v>
      </c>
      <c r="N27" s="172">
        <f t="shared" si="2"/>
        <v>0</v>
      </c>
      <c r="O27" s="39">
        <v>44926</v>
      </c>
      <c r="P27" s="152">
        <v>30</v>
      </c>
      <c r="Q27" s="40">
        <f t="shared" si="9"/>
        <v>1180434.1666666667</v>
      </c>
      <c r="R27" s="40">
        <f t="shared" si="10"/>
        <v>4724854.010416667</v>
      </c>
      <c r="S27" s="41"/>
      <c r="T27" s="34">
        <f t="shared" si="0"/>
        <v>110</v>
      </c>
      <c r="U27" s="41">
        <f t="shared" si="11"/>
        <v>0</v>
      </c>
      <c r="V27" s="41">
        <f t="shared" si="12"/>
        <v>0</v>
      </c>
      <c r="W27" s="188">
        <v>36123487</v>
      </c>
      <c r="X27" s="232">
        <f>+W27-'VDF A teórico'!H27</f>
        <v>0</v>
      </c>
      <c r="Y27" s="154"/>
      <c r="Z27" s="88"/>
      <c r="AA27" s="88"/>
      <c r="AB27" s="88"/>
      <c r="AC27" s="88"/>
      <c r="AD27" s="88"/>
      <c r="AE27" s="84"/>
    </row>
    <row r="28" spans="1:31">
      <c r="A28" s="98"/>
      <c r="B28" s="73">
        <v>45036</v>
      </c>
      <c r="C28" s="128">
        <f>+'VDF A'!C28</f>
        <v>0.68559999999999999</v>
      </c>
      <c r="D28" s="78">
        <f t="shared" si="4"/>
        <v>0.71</v>
      </c>
      <c r="E28" s="48">
        <f t="shared" si="5"/>
        <v>0</v>
      </c>
      <c r="F28" s="77">
        <f t="shared" ref="F28:F36" si="13">+IF(I27&gt;0,MIN(N28-G28,I27),0)</f>
        <v>0</v>
      </c>
      <c r="G28" s="79">
        <f t="shared" ref="G28:G36" si="14">+MIN($N28,R27+Q28)</f>
        <v>0</v>
      </c>
      <c r="H28" s="76">
        <f t="shared" ref="H28:H36" si="15">+F28+G28</f>
        <v>0</v>
      </c>
      <c r="I28" s="76">
        <f t="shared" ref="I28:I36" si="16">+I27-F28</f>
        <v>19951000</v>
      </c>
      <c r="J28" s="253"/>
      <c r="K28" s="85"/>
      <c r="L28" s="132"/>
      <c r="M28" s="38">
        <v>45036</v>
      </c>
      <c r="N28" s="172">
        <f t="shared" si="2"/>
        <v>0</v>
      </c>
      <c r="O28" s="39">
        <v>44957</v>
      </c>
      <c r="P28" s="152">
        <v>30</v>
      </c>
      <c r="Q28" s="40">
        <f t="shared" si="9"/>
        <v>1180434.1666666667</v>
      </c>
      <c r="R28" s="40">
        <f t="shared" si="10"/>
        <v>5905288.177083334</v>
      </c>
      <c r="S28" s="41"/>
      <c r="T28" s="34">
        <f t="shared" si="0"/>
        <v>141</v>
      </c>
      <c r="U28" s="41">
        <f t="shared" si="11"/>
        <v>0</v>
      </c>
      <c r="V28" s="41">
        <f t="shared" si="12"/>
        <v>0</v>
      </c>
      <c r="W28" s="188">
        <v>34473202</v>
      </c>
      <c r="X28" s="232">
        <f>+W28-'VDF A teórico'!H28</f>
        <v>0</v>
      </c>
      <c r="Y28" s="154"/>
      <c r="AE28" s="84"/>
    </row>
    <row r="29" spans="1:31">
      <c r="A29" s="98"/>
      <c r="B29" s="73">
        <v>45068</v>
      </c>
      <c r="C29" s="128">
        <f>+'VDF A'!C29</f>
        <v>0.68559999999999999</v>
      </c>
      <c r="D29" s="78">
        <f t="shared" si="4"/>
        <v>0.71</v>
      </c>
      <c r="E29" s="48">
        <f t="shared" si="5"/>
        <v>0</v>
      </c>
      <c r="F29" s="77">
        <f t="shared" si="13"/>
        <v>0</v>
      </c>
      <c r="G29" s="79">
        <f t="shared" si="14"/>
        <v>0</v>
      </c>
      <c r="H29" s="76">
        <f t="shared" si="15"/>
        <v>0</v>
      </c>
      <c r="I29" s="76">
        <f t="shared" si="16"/>
        <v>19951000</v>
      </c>
      <c r="J29" s="253"/>
      <c r="M29" s="38">
        <v>45068</v>
      </c>
      <c r="N29" s="172">
        <f t="shared" si="2"/>
        <v>0</v>
      </c>
      <c r="O29" s="39">
        <v>44985</v>
      </c>
      <c r="P29" s="152">
        <v>30</v>
      </c>
      <c r="Q29" s="40">
        <f t="shared" si="9"/>
        <v>1180434.1666666667</v>
      </c>
      <c r="R29" s="40">
        <f t="shared" si="10"/>
        <v>7085722.3437500009</v>
      </c>
      <c r="S29" s="41"/>
      <c r="T29" s="34">
        <f t="shared" si="0"/>
        <v>173</v>
      </c>
      <c r="U29" s="41">
        <f t="shared" si="11"/>
        <v>0</v>
      </c>
      <c r="V29" s="41">
        <f t="shared" si="12"/>
        <v>0</v>
      </c>
      <c r="W29" s="188">
        <v>33752760</v>
      </c>
      <c r="X29" s="232">
        <f>+W29-'VDF A teórico'!H29</f>
        <v>0</v>
      </c>
      <c r="Y29" s="154"/>
      <c r="AB29" s="99"/>
      <c r="AE29" s="84"/>
    </row>
    <row r="30" spans="1:31">
      <c r="A30" s="89"/>
      <c r="B30" s="73">
        <v>45098</v>
      </c>
      <c r="C30" s="128">
        <f>+'VDF A'!C30</f>
        <v>0.68559999999999999</v>
      </c>
      <c r="D30" s="78">
        <f t="shared" si="4"/>
        <v>0.71</v>
      </c>
      <c r="E30" s="48">
        <f t="shared" si="5"/>
        <v>0</v>
      </c>
      <c r="F30" s="77">
        <f t="shared" si="13"/>
        <v>0</v>
      </c>
      <c r="G30" s="79">
        <f t="shared" si="14"/>
        <v>0</v>
      </c>
      <c r="H30" s="76">
        <f t="shared" si="15"/>
        <v>0</v>
      </c>
      <c r="I30" s="76">
        <f t="shared" si="16"/>
        <v>19951000</v>
      </c>
      <c r="J30" s="254"/>
      <c r="M30" s="38">
        <v>45098</v>
      </c>
      <c r="N30" s="172">
        <f t="shared" si="2"/>
        <v>0</v>
      </c>
      <c r="O30" s="39">
        <v>45016</v>
      </c>
      <c r="P30" s="152">
        <v>30</v>
      </c>
      <c r="Q30" s="40">
        <f t="shared" si="9"/>
        <v>1180434.1666666667</v>
      </c>
      <c r="R30" s="40">
        <f t="shared" si="10"/>
        <v>8266156.5104166679</v>
      </c>
      <c r="S30" s="41"/>
      <c r="T30" s="34">
        <f t="shared" si="0"/>
        <v>203</v>
      </c>
      <c r="U30" s="41">
        <f t="shared" si="11"/>
        <v>0</v>
      </c>
      <c r="V30" s="41">
        <f t="shared" si="12"/>
        <v>0</v>
      </c>
      <c r="W30" s="188">
        <v>32486022</v>
      </c>
      <c r="X30" s="232">
        <f>+W30-'VDF A teórico'!H30</f>
        <v>0</v>
      </c>
      <c r="Y30" s="154"/>
      <c r="AD30" s="88"/>
      <c r="AE30" s="84"/>
    </row>
    <row r="31" spans="1:31">
      <c r="A31" s="85"/>
      <c r="B31" s="73">
        <v>45127</v>
      </c>
      <c r="C31" s="128">
        <f>+'VDF A'!C31</f>
        <v>0.68559999999999999</v>
      </c>
      <c r="D31" s="78">
        <f t="shared" si="4"/>
        <v>0.71</v>
      </c>
      <c r="E31" s="48">
        <f t="shared" si="5"/>
        <v>0</v>
      </c>
      <c r="F31" s="77">
        <f t="shared" si="13"/>
        <v>0</v>
      </c>
      <c r="G31" s="79">
        <f t="shared" si="14"/>
        <v>0</v>
      </c>
      <c r="H31" s="76">
        <f t="shared" si="15"/>
        <v>0</v>
      </c>
      <c r="I31" s="76">
        <f t="shared" si="16"/>
        <v>19951000</v>
      </c>
      <c r="J31" s="254"/>
      <c r="M31" s="38">
        <v>45127</v>
      </c>
      <c r="N31" s="172">
        <f t="shared" si="2"/>
        <v>0</v>
      </c>
      <c r="O31" s="39">
        <v>45046</v>
      </c>
      <c r="P31" s="152">
        <v>30</v>
      </c>
      <c r="Q31" s="40">
        <f t="shared" si="9"/>
        <v>1180434.1666666667</v>
      </c>
      <c r="R31" s="40">
        <f t="shared" si="10"/>
        <v>9446590.677083334</v>
      </c>
      <c r="S31" s="41"/>
      <c r="T31" s="34">
        <f t="shared" si="0"/>
        <v>232</v>
      </c>
      <c r="U31" s="41">
        <f t="shared" si="11"/>
        <v>0</v>
      </c>
      <c r="V31" s="41">
        <f t="shared" si="12"/>
        <v>0</v>
      </c>
      <c r="W31" s="188">
        <v>32276245</v>
      </c>
      <c r="X31" s="232">
        <f>+W31-'VDF A teórico'!H31</f>
        <v>0</v>
      </c>
      <c r="Y31" s="154"/>
      <c r="AD31" s="88"/>
      <c r="AE31" s="84"/>
    </row>
    <row r="32" spans="1:31">
      <c r="A32" s="85"/>
      <c r="B32" s="73">
        <v>45159</v>
      </c>
      <c r="C32" s="128">
        <f>+'VDF A'!C32</f>
        <v>0.68559999999999999</v>
      </c>
      <c r="D32" s="78">
        <f t="shared" ref="D32:D36" si="17">IF(C32+$D$14&lt;$D$15,$D$15,IF(C32+$D$14&gt;$D$16,$D$16,C32+$D$14))</f>
        <v>0.71</v>
      </c>
      <c r="E32" s="48">
        <f t="shared" ref="E32:E36" si="18">+F32/$I$23</f>
        <v>0</v>
      </c>
      <c r="F32" s="77">
        <f t="shared" si="13"/>
        <v>0</v>
      </c>
      <c r="G32" s="79">
        <f t="shared" si="14"/>
        <v>0</v>
      </c>
      <c r="H32" s="76">
        <f t="shared" si="15"/>
        <v>0</v>
      </c>
      <c r="I32" s="76">
        <f t="shared" si="16"/>
        <v>19951000</v>
      </c>
      <c r="J32" s="254"/>
      <c r="M32" s="38">
        <v>45159</v>
      </c>
      <c r="N32" s="172">
        <f t="shared" si="2"/>
        <v>0</v>
      </c>
      <c r="O32" s="39">
        <v>45077</v>
      </c>
      <c r="P32" s="152">
        <v>30</v>
      </c>
      <c r="Q32" s="40">
        <f t="shared" si="9"/>
        <v>1180434.1666666667</v>
      </c>
      <c r="R32" s="40">
        <f t="shared" ref="R32:R33" si="19">+R31+Q32-G32</f>
        <v>10627024.84375</v>
      </c>
      <c r="S32" s="41"/>
      <c r="T32" s="34">
        <f t="shared" ref="T32:T36" si="20">+M32-$B$23</f>
        <v>264</v>
      </c>
      <c r="U32" s="41">
        <f t="shared" si="11"/>
        <v>0</v>
      </c>
      <c r="V32" s="41">
        <f t="shared" si="12"/>
        <v>0</v>
      </c>
      <c r="W32" s="188">
        <v>31994569</v>
      </c>
      <c r="X32" s="232">
        <f>+W32-'VDF A teórico'!H32</f>
        <v>0</v>
      </c>
      <c r="Y32" s="154"/>
      <c r="AD32" s="88"/>
      <c r="AE32" s="84"/>
    </row>
    <row r="33" spans="1:31">
      <c r="A33" s="85"/>
      <c r="B33" s="73">
        <v>45189</v>
      </c>
      <c r="C33" s="128">
        <f>+'VDF A'!C33</f>
        <v>0.68559999999999999</v>
      </c>
      <c r="D33" s="78">
        <f t="shared" si="17"/>
        <v>0.71</v>
      </c>
      <c r="E33" s="48">
        <f t="shared" si="18"/>
        <v>0</v>
      </c>
      <c r="F33" s="77">
        <f t="shared" si="13"/>
        <v>0</v>
      </c>
      <c r="G33" s="79">
        <f t="shared" si="14"/>
        <v>2607705.6267044023</v>
      </c>
      <c r="H33" s="76">
        <f t="shared" si="15"/>
        <v>2607705.6267044023</v>
      </c>
      <c r="I33" s="76">
        <f t="shared" si="16"/>
        <v>19951000</v>
      </c>
      <c r="J33" s="254"/>
      <c r="M33" s="38">
        <v>45189</v>
      </c>
      <c r="N33" s="172">
        <f t="shared" si="2"/>
        <v>2607705.6267044023</v>
      </c>
      <c r="O33" s="39">
        <v>45107</v>
      </c>
      <c r="P33" s="152">
        <v>30</v>
      </c>
      <c r="Q33" s="40">
        <f t="shared" si="9"/>
        <v>1180434.1666666667</v>
      </c>
      <c r="R33" s="40">
        <f t="shared" si="19"/>
        <v>9199753.3837122638</v>
      </c>
      <c r="S33" s="41"/>
      <c r="T33" s="34">
        <f t="shared" si="20"/>
        <v>294</v>
      </c>
      <c r="U33" s="41">
        <f t="shared" si="11"/>
        <v>1635733.1443235022</v>
      </c>
      <c r="V33" s="41">
        <f t="shared" si="12"/>
        <v>480905544.43110967</v>
      </c>
      <c r="W33" s="188">
        <v>27773557</v>
      </c>
      <c r="X33" s="232">
        <f>+W33-'VDF A teórico'!H33</f>
        <v>2607705.6267044023</v>
      </c>
      <c r="Y33" s="154"/>
      <c r="AD33" s="88"/>
      <c r="AE33" s="84"/>
    </row>
    <row r="34" spans="1:31">
      <c r="A34" s="85"/>
      <c r="B34" s="73">
        <v>45219</v>
      </c>
      <c r="C34" s="128">
        <f>+C33</f>
        <v>0.68559999999999999</v>
      </c>
      <c r="D34" s="78">
        <f t="shared" si="17"/>
        <v>0.71</v>
      </c>
      <c r="E34" s="48">
        <f t="shared" si="18"/>
        <v>0.67695215526144403</v>
      </c>
      <c r="F34" s="77">
        <f t="shared" si="13"/>
        <v>13505872.44962107</v>
      </c>
      <c r="G34" s="79">
        <f t="shared" si="14"/>
        <v>10380187.55037893</v>
      </c>
      <c r="H34" s="76">
        <f t="shared" si="15"/>
        <v>23886060</v>
      </c>
      <c r="I34" s="76">
        <f t="shared" si="16"/>
        <v>6445127.5503789298</v>
      </c>
      <c r="J34" s="254"/>
      <c r="M34" s="38">
        <v>45219</v>
      </c>
      <c r="N34" s="172">
        <f t="shared" si="2"/>
        <v>23886060</v>
      </c>
      <c r="O34" s="39">
        <v>45107</v>
      </c>
      <c r="P34" s="152">
        <v>30</v>
      </c>
      <c r="Q34" s="40">
        <f t="shared" ref="Q34:Q36" si="21">+I33*(D34)/360*P34</f>
        <v>1180434.1666666667</v>
      </c>
      <c r="R34" s="40">
        <f t="shared" ref="R34:R36" si="22">+R33+Q34-G34</f>
        <v>0</v>
      </c>
      <c r="S34" s="41"/>
      <c r="T34" s="34">
        <f t="shared" si="20"/>
        <v>324</v>
      </c>
      <c r="U34" s="41">
        <f t="shared" si="11"/>
        <v>14286651.077240184</v>
      </c>
      <c r="V34" s="41">
        <f t="shared" si="12"/>
        <v>4628874949.0258198</v>
      </c>
      <c r="W34" s="188">
        <v>23886060</v>
      </c>
      <c r="X34" s="232">
        <f>+W34</f>
        <v>23886060</v>
      </c>
      <c r="Y34" s="154"/>
      <c r="AD34" s="88"/>
      <c r="AE34" s="84"/>
    </row>
    <row r="35" spans="1:31">
      <c r="A35" s="85"/>
      <c r="B35" s="73">
        <v>45250</v>
      </c>
      <c r="C35" s="128">
        <f t="shared" ref="C35:C36" si="23">+C34</f>
        <v>0.68559999999999999</v>
      </c>
      <c r="D35" s="78">
        <f t="shared" si="17"/>
        <v>0.71</v>
      </c>
      <c r="E35" s="48">
        <f t="shared" si="18"/>
        <v>0.32304784473855597</v>
      </c>
      <c r="F35" s="77">
        <f t="shared" si="13"/>
        <v>6445127.5503789298</v>
      </c>
      <c r="G35" s="79">
        <f t="shared" si="14"/>
        <v>381336.71339742001</v>
      </c>
      <c r="H35" s="76">
        <f t="shared" si="15"/>
        <v>6826464.2637763498</v>
      </c>
      <c r="I35" s="76">
        <f t="shared" si="16"/>
        <v>0</v>
      </c>
      <c r="J35" s="254"/>
      <c r="M35" s="38">
        <v>45250</v>
      </c>
      <c r="N35" s="172">
        <f t="shared" si="2"/>
        <v>19216377</v>
      </c>
      <c r="O35" s="39">
        <v>45107</v>
      </c>
      <c r="P35" s="152">
        <v>30</v>
      </c>
      <c r="Q35" s="40">
        <f t="shared" si="21"/>
        <v>381336.71339742001</v>
      </c>
      <c r="R35" s="40">
        <f t="shared" si="22"/>
        <v>0</v>
      </c>
      <c r="S35" s="41"/>
      <c r="T35" s="34">
        <f t="shared" si="20"/>
        <v>355</v>
      </c>
      <c r="U35" s="41">
        <f t="shared" si="11"/>
        <v>3887092.1593199759</v>
      </c>
      <c r="V35" s="41">
        <f t="shared" si="12"/>
        <v>1379917716.5585914</v>
      </c>
      <c r="W35" s="188">
        <v>19216377</v>
      </c>
      <c r="X35" s="232">
        <f>+W35</f>
        <v>19216377</v>
      </c>
      <c r="Y35" s="154"/>
      <c r="AD35" s="88"/>
      <c r="AE35" s="84"/>
    </row>
    <row r="36" spans="1:31">
      <c r="A36" s="85"/>
      <c r="B36" s="73">
        <v>45280</v>
      </c>
      <c r="C36" s="128">
        <f t="shared" si="23"/>
        <v>0.68559999999999999</v>
      </c>
      <c r="D36" s="78">
        <f t="shared" si="17"/>
        <v>0.71</v>
      </c>
      <c r="E36" s="48">
        <f t="shared" si="18"/>
        <v>0</v>
      </c>
      <c r="F36" s="77">
        <f t="shared" si="13"/>
        <v>0</v>
      </c>
      <c r="G36" s="79">
        <f t="shared" si="14"/>
        <v>0</v>
      </c>
      <c r="H36" s="76">
        <f t="shared" si="15"/>
        <v>0</v>
      </c>
      <c r="I36" s="76">
        <f t="shared" si="16"/>
        <v>0</v>
      </c>
      <c r="J36" s="254"/>
      <c r="M36" s="42">
        <v>45280</v>
      </c>
      <c r="N36" s="175">
        <f t="shared" si="2"/>
        <v>14594299</v>
      </c>
      <c r="O36" s="43">
        <v>45107</v>
      </c>
      <c r="P36" s="240">
        <v>30</v>
      </c>
      <c r="Q36" s="44">
        <f t="shared" si="21"/>
        <v>0</v>
      </c>
      <c r="R36" s="44">
        <f t="shared" si="22"/>
        <v>0</v>
      </c>
      <c r="S36" s="41"/>
      <c r="T36" s="34">
        <f t="shared" si="20"/>
        <v>385</v>
      </c>
      <c r="U36" s="41">
        <f t="shared" si="11"/>
        <v>0</v>
      </c>
      <c r="V36" s="41">
        <f t="shared" si="12"/>
        <v>0</v>
      </c>
      <c r="W36" s="188">
        <v>14594299</v>
      </c>
      <c r="X36" s="232">
        <f>+W36</f>
        <v>14594299</v>
      </c>
      <c r="Y36" s="154"/>
      <c r="AD36" s="88"/>
      <c r="AE36" s="84"/>
    </row>
    <row r="37" spans="1:31">
      <c r="B37" s="67"/>
      <c r="C37" s="67"/>
      <c r="D37" s="68"/>
      <c r="E37" s="69">
        <f>SUM(E24:E36)</f>
        <v>1</v>
      </c>
      <c r="F37" s="170">
        <f>SUM(F24:F36)</f>
        <v>19951000</v>
      </c>
      <c r="G37" s="170">
        <f>SUM(G24:G36)</f>
        <v>13369229.890480753</v>
      </c>
      <c r="H37" s="170">
        <f>SUM(H24:H36)</f>
        <v>33320229.890480753</v>
      </c>
      <c r="I37" s="170"/>
      <c r="J37" s="255"/>
      <c r="M37" s="45"/>
      <c r="N37" s="45"/>
      <c r="O37" s="45"/>
      <c r="P37" s="45"/>
      <c r="Q37" s="45"/>
      <c r="R37" s="45"/>
      <c r="S37" s="153"/>
      <c r="T37" s="45"/>
      <c r="U37" s="46">
        <f>SUM(U24:U36)</f>
        <v>19809476.38088366</v>
      </c>
      <c r="V37" s="46">
        <f>SUM(V24:V36)</f>
        <v>6489698210.0155201</v>
      </c>
      <c r="W37" s="155"/>
      <c r="X37" s="12"/>
      <c r="Y37" s="159"/>
      <c r="AD37" s="88"/>
      <c r="AE37" s="84"/>
    </row>
    <row r="38" spans="1:31">
      <c r="B38" s="122" t="s">
        <v>35</v>
      </c>
      <c r="C38" s="100"/>
      <c r="D38" s="163">
        <f>+'VDF A'!D36</f>
        <v>0.69187500000000002</v>
      </c>
      <c r="E38" s="102"/>
      <c r="F38" s="103"/>
      <c r="G38" s="103"/>
      <c r="H38" s="103"/>
      <c r="I38" s="104"/>
      <c r="M38" s="45"/>
      <c r="N38" s="45"/>
      <c r="O38" s="45"/>
      <c r="P38" s="45"/>
      <c r="Q38" s="45"/>
      <c r="R38" s="12"/>
      <c r="S38" s="10"/>
      <c r="T38" s="12"/>
      <c r="U38" s="12"/>
      <c r="V38" s="47">
        <f>+V37/U37</f>
        <v>327.60574208201399</v>
      </c>
      <c r="W38" s="10"/>
      <c r="X38" s="154"/>
      <c r="Y38" s="160"/>
      <c r="AD38" s="88"/>
      <c r="AE38" s="84"/>
    </row>
    <row r="39" spans="1:31">
      <c r="B39" s="100"/>
      <c r="C39" s="100"/>
      <c r="D39" s="101"/>
      <c r="E39" s="102"/>
      <c r="F39" s="103"/>
      <c r="G39" s="103"/>
      <c r="H39" s="103"/>
      <c r="I39" s="104"/>
      <c r="M39" s="45"/>
      <c r="N39" s="45"/>
      <c r="O39" s="45"/>
      <c r="P39" s="45"/>
      <c r="Q39" s="12"/>
      <c r="R39" s="12"/>
      <c r="S39" s="12"/>
      <c r="T39" s="12"/>
      <c r="U39" s="167" t="s">
        <v>5</v>
      </c>
      <c r="V39" s="168">
        <f>+V38/30</f>
        <v>10.920191402733799</v>
      </c>
      <c r="W39" s="10"/>
      <c r="X39" s="154"/>
      <c r="AD39" s="88"/>
      <c r="AE39" s="84"/>
    </row>
    <row r="40" spans="1:31">
      <c r="B40" s="100"/>
      <c r="C40" s="100"/>
      <c r="D40" s="101"/>
      <c r="E40" s="102"/>
      <c r="F40" s="103"/>
      <c r="G40" s="103"/>
      <c r="H40" s="103"/>
      <c r="I40" s="164"/>
      <c r="J40" s="112"/>
      <c r="M40" s="45"/>
      <c r="N40" s="45"/>
      <c r="O40" s="45"/>
      <c r="P40" s="45"/>
      <c r="Q40" s="12"/>
      <c r="R40" s="12"/>
      <c r="S40" s="12"/>
      <c r="T40" s="12"/>
      <c r="U40" s="12"/>
      <c r="V40" s="47"/>
      <c r="W40" s="10"/>
      <c r="X40" s="154"/>
      <c r="AD40" s="88"/>
      <c r="AE40" s="84"/>
    </row>
    <row r="41" spans="1:31">
      <c r="B41" s="100"/>
      <c r="C41" s="100"/>
      <c r="D41" s="105"/>
      <c r="E41" s="105"/>
      <c r="F41" s="105"/>
      <c r="G41" s="105"/>
      <c r="H41" s="105"/>
      <c r="I41" s="164"/>
      <c r="J41" s="112"/>
      <c r="M41" s="12"/>
      <c r="N41" s="12"/>
      <c r="O41" s="12"/>
      <c r="P41" s="12"/>
      <c r="Q41" s="154"/>
      <c r="R41" s="154"/>
      <c r="S41" s="154"/>
      <c r="T41" s="154"/>
      <c r="U41" s="12"/>
      <c r="V41" s="12"/>
      <c r="W41" s="169"/>
      <c r="X41" s="12"/>
      <c r="AD41" s="88"/>
      <c r="AE41" s="84"/>
    </row>
    <row r="42" spans="1:31" ht="15">
      <c r="B42" s="283" t="s">
        <v>30</v>
      </c>
      <c r="C42" s="283"/>
      <c r="D42" s="283"/>
      <c r="E42" s="283"/>
      <c r="F42" s="283"/>
      <c r="G42" s="283"/>
      <c r="H42" s="283"/>
      <c r="I42" s="164"/>
      <c r="J42" s="112"/>
      <c r="M42" s="12"/>
      <c r="N42" s="12"/>
      <c r="O42" s="12"/>
      <c r="P42" s="154"/>
      <c r="Q42" s="154"/>
      <c r="R42" s="154"/>
      <c r="S42" s="154"/>
      <c r="T42" s="154"/>
      <c r="U42" s="154"/>
      <c r="V42" s="154"/>
      <c r="W42" s="154"/>
      <c r="X42" s="169"/>
      <c r="Y42" s="12"/>
    </row>
    <row r="43" spans="1:31">
      <c r="A43" s="136"/>
      <c r="B43" s="301" t="s">
        <v>27</v>
      </c>
      <c r="C43" s="302"/>
      <c r="D43" s="302"/>
      <c r="E43" s="302"/>
      <c r="F43" s="302"/>
      <c r="G43" s="302"/>
      <c r="H43" s="303"/>
      <c r="I43" s="164"/>
      <c r="J43" s="112"/>
      <c r="M43" s="10"/>
      <c r="N43" s="10"/>
      <c r="O43" s="281" t="s">
        <v>18</v>
      </c>
      <c r="P43" s="281"/>
      <c r="Q43" s="281"/>
      <c r="R43" s="281"/>
      <c r="S43" s="26"/>
      <c r="T43" s="26"/>
      <c r="U43" s="154"/>
      <c r="V43" s="154"/>
      <c r="W43" s="154"/>
      <c r="X43" s="169"/>
      <c r="Y43" s="12"/>
    </row>
    <row r="44" spans="1:31" ht="25.5">
      <c r="B44" s="59" t="s">
        <v>0</v>
      </c>
      <c r="C44" s="65" t="s">
        <v>29</v>
      </c>
      <c r="D44" s="137" t="s">
        <v>6</v>
      </c>
      <c r="E44" s="138" t="s">
        <v>1</v>
      </c>
      <c r="F44" s="59" t="s">
        <v>2</v>
      </c>
      <c r="G44" s="138" t="s">
        <v>4</v>
      </c>
      <c r="H44" s="138" t="s">
        <v>8</v>
      </c>
      <c r="I44" s="239"/>
      <c r="J44" s="112"/>
      <c r="L44" s="134"/>
      <c r="M44" s="28" t="s">
        <v>0</v>
      </c>
      <c r="N44" s="29" t="s">
        <v>20</v>
      </c>
      <c r="O44" s="29" t="s">
        <v>23</v>
      </c>
      <c r="P44" s="29" t="s">
        <v>3</v>
      </c>
      <c r="Q44" s="29" t="s">
        <v>21</v>
      </c>
      <c r="R44" s="29" t="s">
        <v>22</v>
      </c>
      <c r="S44" s="30"/>
      <c r="T44" s="30"/>
      <c r="U44" s="192">
        <f>+Q14</f>
        <v>19951000</v>
      </c>
      <c r="V44" s="50"/>
      <c r="W44" s="169"/>
      <c r="X44" s="12"/>
      <c r="Y44" s="12"/>
      <c r="AD44" s="88"/>
    </row>
    <row r="45" spans="1:31">
      <c r="B45" s="73">
        <v>44895</v>
      </c>
      <c r="C45" s="135"/>
      <c r="D45" s="106"/>
      <c r="E45" s="107"/>
      <c r="F45" s="139"/>
      <c r="G45" s="140">
        <v>0</v>
      </c>
      <c r="H45" s="139">
        <f>+Q14</f>
        <v>19951000</v>
      </c>
      <c r="I45" s="267"/>
      <c r="J45" s="112"/>
      <c r="L45" s="134"/>
      <c r="M45" s="32">
        <f>+B45</f>
        <v>44895</v>
      </c>
      <c r="N45" s="150"/>
      <c r="O45" s="32">
        <v>44804</v>
      </c>
      <c r="P45" s="171"/>
      <c r="Q45" s="178"/>
      <c r="R45" s="176"/>
      <c r="S45" s="169"/>
      <c r="T45" s="169"/>
      <c r="U45" s="194">
        <f>+D12/U44</f>
        <v>1</v>
      </c>
      <c r="V45" s="196">
        <f>+SUM(V46:V58)</f>
        <v>19951005.071299676</v>
      </c>
      <c r="W45" s="169"/>
      <c r="X45" s="12"/>
      <c r="Y45" s="12"/>
      <c r="AD45" s="88"/>
    </row>
    <row r="46" spans="1:31">
      <c r="B46" s="73">
        <v>44915</v>
      </c>
      <c r="C46" s="108">
        <f>+$D$15</f>
        <v>0.71</v>
      </c>
      <c r="D46" s="109">
        <f t="shared" ref="D46:D52" si="24">+E46/$H$45</f>
        <v>0</v>
      </c>
      <c r="E46" s="49">
        <f>+IF(H45&gt;0,MIN(N46-F46,H45),0)</f>
        <v>0</v>
      </c>
      <c r="F46" s="79">
        <f>+MIN($N46,R45+Q46)</f>
        <v>0</v>
      </c>
      <c r="G46" s="107">
        <f t="shared" ref="G46:G52" si="25">+E46+F46</f>
        <v>0</v>
      </c>
      <c r="H46" s="107">
        <f>+H45-E46</f>
        <v>19951000</v>
      </c>
      <c r="I46" s="267"/>
      <c r="J46" s="112"/>
      <c r="L46" s="134"/>
      <c r="M46" s="39">
        <f t="shared" ref="M46:M53" si="26">+B46</f>
        <v>44915</v>
      </c>
      <c r="N46" s="243">
        <f>+ROUNDDOWN(U46-'VDF A teórico'!G43,0)</f>
        <v>0</v>
      </c>
      <c r="O46" s="39">
        <v>44834</v>
      </c>
      <c r="P46" s="152">
        <v>30</v>
      </c>
      <c r="Q46" s="40">
        <f>+H45*(C46)/360*P46</f>
        <v>1180434.1666666667</v>
      </c>
      <c r="R46" s="177">
        <f>+R45+Q46-F46</f>
        <v>1180434.1666666667</v>
      </c>
      <c r="S46" s="169"/>
      <c r="T46" s="169"/>
      <c r="U46" s="235">
        <v>37423856</v>
      </c>
      <c r="V46" s="192">
        <f t="shared" ref="V46:V58" si="27">+G46/(1+$G$12)^((B46-$B$45)/365)</f>
        <v>0</v>
      </c>
      <c r="W46" s="169"/>
      <c r="X46" s="12"/>
      <c r="Y46" s="12"/>
      <c r="AD46" s="88"/>
    </row>
    <row r="47" spans="1:31">
      <c r="B47" s="73">
        <v>44946</v>
      </c>
      <c r="C47" s="108">
        <f t="shared" ref="C47:C58" si="28">+$D$15</f>
        <v>0.71</v>
      </c>
      <c r="D47" s="109">
        <f t="shared" si="24"/>
        <v>0</v>
      </c>
      <c r="E47" s="49">
        <f t="shared" ref="E47:E52" si="29">+IF(H46&gt;0,MIN(N47-F47,H46),0)</f>
        <v>0</v>
      </c>
      <c r="F47" s="79">
        <f t="shared" ref="F47:F52" si="30">+MIN($N47,R46+Q47)</f>
        <v>0</v>
      </c>
      <c r="G47" s="107">
        <f t="shared" si="25"/>
        <v>0</v>
      </c>
      <c r="H47" s="107">
        <f t="shared" ref="H47:H52" si="31">+H46-E47</f>
        <v>19951000</v>
      </c>
      <c r="I47" s="267"/>
      <c r="J47" s="112"/>
      <c r="L47" s="134"/>
      <c r="M47" s="39">
        <f t="shared" si="26"/>
        <v>44946</v>
      </c>
      <c r="N47" s="243">
        <f>+ROUNDDOWN(U47-'VDF A teórico'!G44,0)</f>
        <v>0</v>
      </c>
      <c r="O47" s="39">
        <v>44865</v>
      </c>
      <c r="P47" s="152">
        <v>30</v>
      </c>
      <c r="Q47" s="40">
        <f t="shared" ref="Q47:Q55" si="32">+H46*(C47)/360*P47</f>
        <v>1180434.1666666667</v>
      </c>
      <c r="R47" s="177">
        <f t="shared" ref="R47:R52" si="33">+R46+Q47-F47</f>
        <v>2360868.3333333335</v>
      </c>
      <c r="S47" s="169"/>
      <c r="T47" s="169"/>
      <c r="U47" s="235">
        <v>38173615</v>
      </c>
      <c r="V47" s="192">
        <f t="shared" si="27"/>
        <v>0</v>
      </c>
      <c r="W47" s="169"/>
      <c r="X47" s="12"/>
      <c r="Y47" s="12"/>
      <c r="AD47" s="88"/>
    </row>
    <row r="48" spans="1:31">
      <c r="B48" s="73">
        <v>44977</v>
      </c>
      <c r="C48" s="108">
        <f t="shared" si="28"/>
        <v>0.71</v>
      </c>
      <c r="D48" s="109">
        <f t="shared" si="24"/>
        <v>0</v>
      </c>
      <c r="E48" s="49">
        <f t="shared" si="29"/>
        <v>0</v>
      </c>
      <c r="F48" s="79">
        <f t="shared" si="30"/>
        <v>0</v>
      </c>
      <c r="G48" s="107">
        <f t="shared" si="25"/>
        <v>0</v>
      </c>
      <c r="H48" s="107">
        <f t="shared" si="31"/>
        <v>19951000</v>
      </c>
      <c r="I48" s="267"/>
      <c r="J48" s="112"/>
      <c r="L48" s="134"/>
      <c r="M48" s="39">
        <f t="shared" si="26"/>
        <v>44977</v>
      </c>
      <c r="N48" s="243">
        <f>+ROUNDDOWN(U48-'VDF A teórico'!G45,0)</f>
        <v>0</v>
      </c>
      <c r="O48" s="39">
        <v>44895</v>
      </c>
      <c r="P48" s="152">
        <v>30</v>
      </c>
      <c r="Q48" s="40">
        <f t="shared" si="32"/>
        <v>1180434.1666666667</v>
      </c>
      <c r="R48" s="177">
        <f t="shared" si="33"/>
        <v>3541302.5</v>
      </c>
      <c r="S48" s="169"/>
      <c r="T48" s="169"/>
      <c r="U48" s="235">
        <v>37350914</v>
      </c>
      <c r="V48" s="192">
        <f t="shared" si="27"/>
        <v>0</v>
      </c>
      <c r="W48" s="169"/>
      <c r="X48" s="12"/>
      <c r="Y48" s="12"/>
      <c r="AD48" s="88"/>
    </row>
    <row r="49" spans="2:30">
      <c r="B49" s="73">
        <v>45005</v>
      </c>
      <c r="C49" s="108">
        <f t="shared" si="28"/>
        <v>0.71</v>
      </c>
      <c r="D49" s="109">
        <f t="shared" si="24"/>
        <v>0</v>
      </c>
      <c r="E49" s="49">
        <f t="shared" si="29"/>
        <v>0</v>
      </c>
      <c r="F49" s="79">
        <f t="shared" si="30"/>
        <v>0</v>
      </c>
      <c r="G49" s="107">
        <f t="shared" si="25"/>
        <v>0</v>
      </c>
      <c r="H49" s="107">
        <f t="shared" si="31"/>
        <v>19951000</v>
      </c>
      <c r="I49" s="267"/>
      <c r="J49" s="112"/>
      <c r="L49" s="134"/>
      <c r="M49" s="39">
        <f t="shared" si="26"/>
        <v>45005</v>
      </c>
      <c r="N49" s="243">
        <f>+ROUNDDOWN(U49-'VDF A teórico'!G46,0)</f>
        <v>0</v>
      </c>
      <c r="O49" s="39">
        <v>44926</v>
      </c>
      <c r="P49" s="152">
        <v>30</v>
      </c>
      <c r="Q49" s="40">
        <f t="shared" si="32"/>
        <v>1180434.1666666667</v>
      </c>
      <c r="R49" s="177">
        <f t="shared" si="33"/>
        <v>4721736.666666667</v>
      </c>
      <c r="S49" s="169"/>
      <c r="T49" s="169"/>
      <c r="U49" s="235">
        <v>36123487</v>
      </c>
      <c r="V49" s="192">
        <f t="shared" si="27"/>
        <v>0</v>
      </c>
      <c r="W49" s="169"/>
      <c r="X49" s="12"/>
      <c r="Y49" s="12"/>
      <c r="AD49" s="88"/>
    </row>
    <row r="50" spans="2:30">
      <c r="B50" s="73">
        <v>45036</v>
      </c>
      <c r="C50" s="108">
        <f t="shared" si="28"/>
        <v>0.71</v>
      </c>
      <c r="D50" s="109">
        <f t="shared" si="24"/>
        <v>0</v>
      </c>
      <c r="E50" s="49">
        <f t="shared" si="29"/>
        <v>0</v>
      </c>
      <c r="F50" s="79">
        <f t="shared" si="30"/>
        <v>0</v>
      </c>
      <c r="G50" s="107">
        <f t="shared" si="25"/>
        <v>0</v>
      </c>
      <c r="H50" s="107">
        <f t="shared" si="31"/>
        <v>19951000</v>
      </c>
      <c r="I50" s="267"/>
      <c r="J50" s="112"/>
      <c r="L50" s="134"/>
      <c r="M50" s="39">
        <f t="shared" si="26"/>
        <v>45036</v>
      </c>
      <c r="N50" s="243">
        <f>+ROUNDDOWN(U50-'VDF A teórico'!G47,0)</f>
        <v>0</v>
      </c>
      <c r="O50" s="39">
        <v>44957</v>
      </c>
      <c r="P50" s="152">
        <v>30</v>
      </c>
      <c r="Q50" s="40">
        <f t="shared" si="32"/>
        <v>1180434.1666666667</v>
      </c>
      <c r="R50" s="177">
        <f t="shared" si="33"/>
        <v>5902170.833333334</v>
      </c>
      <c r="S50" s="169"/>
      <c r="T50" s="169"/>
      <c r="U50" s="235">
        <v>34473202</v>
      </c>
      <c r="V50" s="192">
        <f t="shared" si="27"/>
        <v>0</v>
      </c>
      <c r="W50" s="87"/>
      <c r="X50" s="86"/>
      <c r="AD50" s="88"/>
    </row>
    <row r="51" spans="2:30">
      <c r="B51" s="73">
        <v>45068</v>
      </c>
      <c r="C51" s="108">
        <f t="shared" si="28"/>
        <v>0.71</v>
      </c>
      <c r="D51" s="109">
        <f t="shared" si="24"/>
        <v>0</v>
      </c>
      <c r="E51" s="49">
        <f t="shared" si="29"/>
        <v>0</v>
      </c>
      <c r="F51" s="79">
        <f t="shared" si="30"/>
        <v>0</v>
      </c>
      <c r="G51" s="107">
        <f t="shared" si="25"/>
        <v>0</v>
      </c>
      <c r="H51" s="107">
        <f t="shared" si="31"/>
        <v>19951000</v>
      </c>
      <c r="I51" s="187"/>
      <c r="M51" s="39">
        <f t="shared" si="26"/>
        <v>45068</v>
      </c>
      <c r="N51" s="243">
        <f>+ROUNDDOWN(U51-'VDF A teórico'!G48,0)</f>
        <v>0</v>
      </c>
      <c r="O51" s="39">
        <v>44985</v>
      </c>
      <c r="P51" s="152">
        <v>30</v>
      </c>
      <c r="Q51" s="40">
        <f t="shared" si="32"/>
        <v>1180434.1666666667</v>
      </c>
      <c r="R51" s="177">
        <f t="shared" si="33"/>
        <v>7082605.0000000009</v>
      </c>
      <c r="S51" s="169"/>
      <c r="T51" s="169"/>
      <c r="U51" s="235">
        <v>33752760</v>
      </c>
      <c r="V51" s="192">
        <f t="shared" si="27"/>
        <v>0</v>
      </c>
    </row>
    <row r="52" spans="2:30">
      <c r="B52" s="73">
        <v>45098</v>
      </c>
      <c r="C52" s="108">
        <f t="shared" si="28"/>
        <v>0.71</v>
      </c>
      <c r="D52" s="109">
        <f t="shared" si="24"/>
        <v>0</v>
      </c>
      <c r="E52" s="49">
        <f t="shared" si="29"/>
        <v>0</v>
      </c>
      <c r="F52" s="79">
        <f t="shared" si="30"/>
        <v>0</v>
      </c>
      <c r="G52" s="107">
        <f t="shared" si="25"/>
        <v>0</v>
      </c>
      <c r="H52" s="107">
        <f t="shared" si="31"/>
        <v>19951000</v>
      </c>
      <c r="I52" s="187"/>
      <c r="M52" s="39">
        <f t="shared" si="26"/>
        <v>45098</v>
      </c>
      <c r="N52" s="243">
        <f>+ROUNDDOWN(U52-'VDF A teórico'!G49,0)</f>
        <v>0</v>
      </c>
      <c r="O52" s="39">
        <v>45016</v>
      </c>
      <c r="P52" s="152">
        <v>30</v>
      </c>
      <c r="Q52" s="40">
        <f t="shared" si="32"/>
        <v>1180434.1666666667</v>
      </c>
      <c r="R52" s="177">
        <f t="shared" si="33"/>
        <v>8263039.1666666679</v>
      </c>
      <c r="S52" s="169"/>
      <c r="T52" s="169"/>
      <c r="U52" s="235">
        <v>32486022</v>
      </c>
      <c r="V52" s="192">
        <f t="shared" si="27"/>
        <v>0</v>
      </c>
    </row>
    <row r="53" spans="2:30">
      <c r="B53" s="73">
        <v>45127</v>
      </c>
      <c r="C53" s="108">
        <f t="shared" si="28"/>
        <v>0.71</v>
      </c>
      <c r="D53" s="109">
        <f t="shared" ref="D53:D58" si="34">+E53/$H$45</f>
        <v>0</v>
      </c>
      <c r="E53" s="49">
        <f t="shared" ref="E53:E55" si="35">+IF(H52&gt;0,MIN(N53-F53,H52),0)</f>
        <v>0</v>
      </c>
      <c r="F53" s="79">
        <f t="shared" ref="F53:F55" si="36">+MIN($N53,R52+Q53)</f>
        <v>0</v>
      </c>
      <c r="G53" s="107">
        <f t="shared" ref="G53:G55" si="37">+E53+F53</f>
        <v>0</v>
      </c>
      <c r="H53" s="107">
        <f t="shared" ref="H53:H55" si="38">+H52-E53</f>
        <v>19951000</v>
      </c>
      <c r="I53" s="187"/>
      <c r="M53" s="39">
        <f t="shared" si="26"/>
        <v>45127</v>
      </c>
      <c r="N53" s="243">
        <f>+ROUNDDOWN(U53-'VDF A teórico'!G50,0)</f>
        <v>0</v>
      </c>
      <c r="O53" s="39">
        <v>45046</v>
      </c>
      <c r="P53" s="152">
        <v>30</v>
      </c>
      <c r="Q53" s="40">
        <f t="shared" si="32"/>
        <v>1180434.1666666667</v>
      </c>
      <c r="R53" s="177">
        <f t="shared" ref="R53:R55" si="39">+R52+Q53-F53</f>
        <v>9443473.333333334</v>
      </c>
      <c r="S53" s="169"/>
      <c r="T53" s="169"/>
      <c r="U53" s="235">
        <v>32276245</v>
      </c>
      <c r="V53" s="192">
        <f t="shared" si="27"/>
        <v>0</v>
      </c>
    </row>
    <row r="54" spans="2:30">
      <c r="B54" s="73">
        <v>45159</v>
      </c>
      <c r="C54" s="108">
        <f t="shared" si="28"/>
        <v>0.71</v>
      </c>
      <c r="D54" s="109">
        <f t="shared" si="34"/>
        <v>0</v>
      </c>
      <c r="E54" s="49">
        <f t="shared" si="35"/>
        <v>0</v>
      </c>
      <c r="F54" s="79">
        <f t="shared" si="36"/>
        <v>0</v>
      </c>
      <c r="G54" s="107">
        <f t="shared" si="37"/>
        <v>0</v>
      </c>
      <c r="H54" s="107">
        <f t="shared" si="38"/>
        <v>19951000</v>
      </c>
      <c r="I54" s="187"/>
      <c r="M54" s="39">
        <f t="shared" ref="M54:M58" si="40">+B54</f>
        <v>45159</v>
      </c>
      <c r="N54" s="243">
        <f>+ROUNDDOWN(U54-'VDF A teórico'!G51,0)</f>
        <v>0</v>
      </c>
      <c r="O54" s="39">
        <v>45077</v>
      </c>
      <c r="P54" s="152">
        <v>30</v>
      </c>
      <c r="Q54" s="40">
        <f t="shared" si="32"/>
        <v>1180434.1666666667</v>
      </c>
      <c r="R54" s="177">
        <f t="shared" si="39"/>
        <v>10623907.5</v>
      </c>
      <c r="S54" s="169"/>
      <c r="T54" s="169"/>
      <c r="U54" s="235">
        <v>31994569</v>
      </c>
      <c r="V54" s="192">
        <f t="shared" si="27"/>
        <v>0</v>
      </c>
    </row>
    <row r="55" spans="2:30">
      <c r="B55" s="73">
        <v>45189</v>
      </c>
      <c r="C55" s="108">
        <f t="shared" si="28"/>
        <v>0.71</v>
      </c>
      <c r="D55" s="109">
        <f t="shared" si="34"/>
        <v>0</v>
      </c>
      <c r="E55" s="49">
        <f t="shared" si="35"/>
        <v>0</v>
      </c>
      <c r="F55" s="79">
        <f t="shared" si="36"/>
        <v>2674211</v>
      </c>
      <c r="G55" s="107">
        <f t="shared" si="37"/>
        <v>2674211</v>
      </c>
      <c r="H55" s="107">
        <f t="shared" si="38"/>
        <v>19951000</v>
      </c>
      <c r="I55" s="187"/>
      <c r="M55" s="39">
        <f t="shared" si="40"/>
        <v>45189</v>
      </c>
      <c r="N55" s="243">
        <f>+ROUNDDOWN(U55-'VDF A teórico'!G52,0)</f>
        <v>2674211</v>
      </c>
      <c r="O55" s="39">
        <v>45107</v>
      </c>
      <c r="P55" s="152">
        <v>30</v>
      </c>
      <c r="Q55" s="40">
        <f t="shared" si="32"/>
        <v>1180434.1666666667</v>
      </c>
      <c r="R55" s="177">
        <f t="shared" si="39"/>
        <v>9130130.666666666</v>
      </c>
      <c r="S55" s="169"/>
      <c r="T55" s="169"/>
      <c r="U55" s="235">
        <v>27773557</v>
      </c>
      <c r="V55" s="192">
        <f t="shared" si="27"/>
        <v>1688226.1858127585</v>
      </c>
    </row>
    <row r="56" spans="2:30">
      <c r="B56" s="73">
        <v>45219</v>
      </c>
      <c r="C56" s="108">
        <f t="shared" si="28"/>
        <v>0.71</v>
      </c>
      <c r="D56" s="109">
        <f t="shared" si="34"/>
        <v>0.68044184084339976</v>
      </c>
      <c r="E56" s="49">
        <f t="shared" ref="E56:E58" si="41">+IF(H55&gt;0,MIN(N56-F56,H55),0)</f>
        <v>13575495.166666668</v>
      </c>
      <c r="F56" s="79">
        <f t="shared" ref="F56:F58" si="42">+MIN($N56,R55+Q56)</f>
        <v>10310564.833333332</v>
      </c>
      <c r="G56" s="107">
        <f t="shared" ref="G56:G58" si="43">+E56+F56</f>
        <v>23886060</v>
      </c>
      <c r="H56" s="107">
        <f t="shared" ref="H56:H58" si="44">+H55-E56</f>
        <v>6375504.8333333321</v>
      </c>
      <c r="I56" s="187"/>
      <c r="M56" s="39">
        <f t="shared" si="40"/>
        <v>45219</v>
      </c>
      <c r="N56" s="243">
        <f>+U56</f>
        <v>23886060</v>
      </c>
      <c r="O56" s="39">
        <v>45107</v>
      </c>
      <c r="P56" s="152">
        <v>30</v>
      </c>
      <c r="Q56" s="40">
        <f t="shared" ref="Q56:Q58" si="45">+H55*(C56)/360*P56</f>
        <v>1180434.1666666667</v>
      </c>
      <c r="R56" s="177">
        <f t="shared" ref="R56:R58" si="46">+R55+Q56-F56</f>
        <v>0</v>
      </c>
      <c r="S56" s="169"/>
      <c r="T56" s="169"/>
      <c r="U56" s="235">
        <v>23886060</v>
      </c>
      <c r="V56" s="192">
        <f t="shared" si="27"/>
        <v>14387829.830804456</v>
      </c>
    </row>
    <row r="57" spans="2:30">
      <c r="B57" s="73">
        <v>45250</v>
      </c>
      <c r="C57" s="108">
        <f t="shared" si="28"/>
        <v>0.71</v>
      </c>
      <c r="D57" s="109">
        <f t="shared" si="34"/>
        <v>0.3195581591566003</v>
      </c>
      <c r="E57" s="49">
        <f t="shared" si="41"/>
        <v>6375504.8333333321</v>
      </c>
      <c r="F57" s="79">
        <f t="shared" si="42"/>
        <v>377217.36930555548</v>
      </c>
      <c r="G57" s="107">
        <f t="shared" si="43"/>
        <v>6752722.2026388878</v>
      </c>
      <c r="H57" s="107">
        <f t="shared" si="44"/>
        <v>0</v>
      </c>
      <c r="I57" s="187"/>
      <c r="M57" s="39">
        <f t="shared" si="40"/>
        <v>45250</v>
      </c>
      <c r="N57" s="243">
        <f>+ROUNDDOWN(U57-'VDF A teórico'!G54,0)</f>
        <v>19216377</v>
      </c>
      <c r="O57" s="39">
        <v>45107</v>
      </c>
      <c r="P57" s="152">
        <v>30</v>
      </c>
      <c r="Q57" s="40">
        <f t="shared" si="45"/>
        <v>377217.36930555548</v>
      </c>
      <c r="R57" s="177">
        <f t="shared" si="46"/>
        <v>0</v>
      </c>
      <c r="S57" s="169"/>
      <c r="T57" s="169"/>
      <c r="U57" s="235">
        <v>19216377</v>
      </c>
      <c r="V57" s="192">
        <f t="shared" si="27"/>
        <v>3874949.0546824615</v>
      </c>
    </row>
    <row r="58" spans="2:30">
      <c r="B58" s="73">
        <v>45280</v>
      </c>
      <c r="C58" s="108">
        <f t="shared" si="28"/>
        <v>0.71</v>
      </c>
      <c r="D58" s="109">
        <f t="shared" si="34"/>
        <v>0</v>
      </c>
      <c r="E58" s="49">
        <f t="shared" si="41"/>
        <v>0</v>
      </c>
      <c r="F58" s="79">
        <f t="shared" si="42"/>
        <v>0</v>
      </c>
      <c r="G58" s="107">
        <f t="shared" si="43"/>
        <v>0</v>
      </c>
      <c r="H58" s="107">
        <f t="shared" si="44"/>
        <v>0</v>
      </c>
      <c r="I58" s="187"/>
      <c r="M58" s="43">
        <f t="shared" si="40"/>
        <v>45280</v>
      </c>
      <c r="N58" s="266">
        <f>+ROUNDDOWN(U58-'VDF A teórico'!G55,0)</f>
        <v>14594299</v>
      </c>
      <c r="O58" s="43">
        <v>45107</v>
      </c>
      <c r="P58" s="240">
        <v>30</v>
      </c>
      <c r="Q58" s="44">
        <f t="shared" si="45"/>
        <v>0</v>
      </c>
      <c r="R58" s="252">
        <f t="shared" si="46"/>
        <v>0</v>
      </c>
      <c r="S58" s="169"/>
      <c r="T58" s="169"/>
      <c r="U58" s="235">
        <v>14594299</v>
      </c>
      <c r="V58" s="192">
        <f t="shared" si="27"/>
        <v>0</v>
      </c>
    </row>
    <row r="59" spans="2:30">
      <c r="B59" s="67"/>
      <c r="C59" s="68"/>
      <c r="D59" s="69">
        <f>SUM(D46:D58)</f>
        <v>1</v>
      </c>
      <c r="E59" s="70">
        <f>SUM(E45:E58)</f>
        <v>19951000</v>
      </c>
      <c r="F59" s="71">
        <f>SUM(F45:F58)</f>
        <v>13361993.202638887</v>
      </c>
      <c r="G59" s="70">
        <f>SUM(G45:G58)</f>
        <v>33312993.202638887</v>
      </c>
      <c r="H59" s="72"/>
      <c r="I59" s="52"/>
      <c r="M59" s="166"/>
      <c r="N59" s="172"/>
      <c r="O59" s="174"/>
      <c r="P59" s="173"/>
      <c r="Q59" s="41"/>
      <c r="R59" s="169"/>
      <c r="S59" s="169"/>
      <c r="T59" s="169"/>
      <c r="U59" s="235">
        <v>15304496</v>
      </c>
      <c r="V59" s="192">
        <v>0</v>
      </c>
    </row>
    <row r="60" spans="2:30">
      <c r="E60" s="110"/>
      <c r="F60" s="111"/>
      <c r="G60" s="111"/>
      <c r="I60" s="241"/>
      <c r="M60" s="166"/>
      <c r="N60" s="172"/>
      <c r="O60" s="174"/>
      <c r="P60" s="173"/>
      <c r="Q60" s="41"/>
      <c r="R60" s="169"/>
      <c r="S60" s="169"/>
      <c r="T60" s="169"/>
      <c r="U60" s="235">
        <v>13325743</v>
      </c>
      <c r="V60" s="192">
        <f t="shared" ref="V60:V89" si="47">+G60/(1+$G$12)^((B60-$B$45)/365)</f>
        <v>0</v>
      </c>
    </row>
    <row r="61" spans="2:30">
      <c r="E61" s="112"/>
      <c r="F61" s="111"/>
      <c r="G61" s="111"/>
      <c r="I61" s="242"/>
      <c r="M61" s="165"/>
      <c r="U61" s="235">
        <v>12404626</v>
      </c>
      <c r="V61" s="192">
        <f t="shared" si="47"/>
        <v>0</v>
      </c>
    </row>
    <row r="62" spans="2:30">
      <c r="E62" s="112"/>
      <c r="F62" s="111"/>
      <c r="G62" s="111"/>
      <c r="U62" s="235">
        <v>11166573</v>
      </c>
      <c r="V62" s="192">
        <f t="shared" si="47"/>
        <v>0</v>
      </c>
    </row>
    <row r="63" spans="2:30">
      <c r="E63" s="112"/>
      <c r="F63" s="111"/>
      <c r="G63" s="111"/>
      <c r="U63" s="235">
        <v>9771002</v>
      </c>
      <c r="V63" s="192">
        <f t="shared" si="47"/>
        <v>0</v>
      </c>
    </row>
    <row r="64" spans="2:30">
      <c r="E64" s="112"/>
      <c r="F64" s="111"/>
      <c r="G64" s="113"/>
      <c r="U64" s="235">
        <v>9349666</v>
      </c>
      <c r="V64" s="192">
        <f t="shared" si="47"/>
        <v>0</v>
      </c>
    </row>
    <row r="65" spans="5:22">
      <c r="E65" s="112"/>
      <c r="F65" s="111"/>
      <c r="U65" s="235">
        <v>7536091</v>
      </c>
      <c r="V65" s="192">
        <f t="shared" si="47"/>
        <v>0</v>
      </c>
    </row>
    <row r="66" spans="5:22">
      <c r="E66" s="112"/>
      <c r="F66" s="114"/>
      <c r="U66" s="235">
        <v>6183719</v>
      </c>
      <c r="V66" s="192">
        <f t="shared" si="47"/>
        <v>0</v>
      </c>
    </row>
    <row r="67" spans="5:22">
      <c r="E67" s="114"/>
      <c r="F67" s="114"/>
      <c r="U67" s="235">
        <v>6006433</v>
      </c>
      <c r="V67" s="192">
        <f t="shared" si="47"/>
        <v>0</v>
      </c>
    </row>
    <row r="68" spans="5:22">
      <c r="F68" s="114"/>
      <c r="U68" s="235">
        <v>4526992</v>
      </c>
      <c r="V68" s="192">
        <f t="shared" si="47"/>
        <v>0</v>
      </c>
    </row>
    <row r="69" spans="5:22">
      <c r="F69" s="114"/>
      <c r="U69" s="235">
        <v>3960996</v>
      </c>
      <c r="V69" s="192">
        <f t="shared" si="47"/>
        <v>0</v>
      </c>
    </row>
    <row r="70" spans="5:22">
      <c r="F70" s="114"/>
      <c r="U70" s="235">
        <v>3777167</v>
      </c>
      <c r="V70" s="192">
        <f t="shared" si="47"/>
        <v>0</v>
      </c>
    </row>
    <row r="71" spans="5:22">
      <c r="F71" s="114"/>
      <c r="U71" s="235">
        <v>3507109</v>
      </c>
      <c r="V71" s="192">
        <f t="shared" si="47"/>
        <v>0</v>
      </c>
    </row>
    <row r="72" spans="5:22">
      <c r="F72" s="114"/>
      <c r="U72" s="235">
        <v>3308981</v>
      </c>
      <c r="V72" s="192">
        <f t="shared" si="47"/>
        <v>0</v>
      </c>
    </row>
    <row r="73" spans="5:22">
      <c r="F73" s="114"/>
      <c r="U73" s="235">
        <v>3189292</v>
      </c>
      <c r="V73" s="192">
        <f t="shared" si="47"/>
        <v>0</v>
      </c>
    </row>
    <row r="74" spans="5:22">
      <c r="F74" s="114"/>
      <c r="U74" s="235">
        <v>3130927</v>
      </c>
      <c r="V74" s="192">
        <f t="shared" si="47"/>
        <v>0</v>
      </c>
    </row>
    <row r="75" spans="5:22">
      <c r="F75" s="114"/>
      <c r="U75" s="235">
        <v>3074470</v>
      </c>
      <c r="V75" s="192">
        <f t="shared" si="47"/>
        <v>0</v>
      </c>
    </row>
    <row r="76" spans="5:22">
      <c r="F76" s="114"/>
      <c r="U76" s="235">
        <v>3375133</v>
      </c>
      <c r="V76" s="192">
        <f t="shared" si="47"/>
        <v>0</v>
      </c>
    </row>
    <row r="77" spans="5:22">
      <c r="U77" s="235">
        <v>3158638</v>
      </c>
      <c r="V77" s="192">
        <f t="shared" si="47"/>
        <v>0</v>
      </c>
    </row>
    <row r="78" spans="5:22">
      <c r="U78" s="235">
        <v>2583326</v>
      </c>
      <c r="V78" s="192">
        <f t="shared" si="47"/>
        <v>0</v>
      </c>
    </row>
    <row r="79" spans="5:22">
      <c r="U79" s="235">
        <v>1760304</v>
      </c>
      <c r="V79" s="192">
        <f t="shared" si="47"/>
        <v>0</v>
      </c>
    </row>
    <row r="80" spans="5:22">
      <c r="U80" s="235">
        <v>679265</v>
      </c>
      <c r="V80" s="192">
        <f t="shared" si="47"/>
        <v>0</v>
      </c>
    </row>
    <row r="81" spans="21:22">
      <c r="U81" s="235">
        <v>68088</v>
      </c>
      <c r="V81" s="192">
        <f t="shared" si="47"/>
        <v>0</v>
      </c>
    </row>
    <row r="82" spans="21:22">
      <c r="U82" s="235">
        <v>55263</v>
      </c>
      <c r="V82" s="192">
        <f t="shared" si="47"/>
        <v>0</v>
      </c>
    </row>
    <row r="83" spans="21:22">
      <c r="U83" s="235">
        <v>55406</v>
      </c>
      <c r="V83" s="192">
        <f t="shared" si="47"/>
        <v>0</v>
      </c>
    </row>
    <row r="84" spans="21:22">
      <c r="U84" s="235">
        <v>55597</v>
      </c>
      <c r="V84" s="192">
        <f t="shared" si="47"/>
        <v>0</v>
      </c>
    </row>
    <row r="85" spans="21:22">
      <c r="U85" s="235">
        <v>55859</v>
      </c>
      <c r="V85" s="192">
        <f t="shared" si="47"/>
        <v>0</v>
      </c>
    </row>
    <row r="86" spans="21:22">
      <c r="U86" s="235">
        <v>31401</v>
      </c>
      <c r="V86" s="192">
        <f t="shared" si="47"/>
        <v>0</v>
      </c>
    </row>
    <row r="87" spans="21:22">
      <c r="U87" s="235">
        <v>24111</v>
      </c>
      <c r="V87" s="192">
        <f t="shared" si="47"/>
        <v>0</v>
      </c>
    </row>
    <row r="88" spans="21:22">
      <c r="U88" s="235">
        <v>13235</v>
      </c>
      <c r="V88" s="192">
        <f t="shared" si="47"/>
        <v>0</v>
      </c>
    </row>
    <row r="89" spans="21:22">
      <c r="U89" s="235">
        <v>13339</v>
      </c>
      <c r="V89" s="192">
        <f t="shared" si="47"/>
        <v>0</v>
      </c>
    </row>
    <row r="90" spans="21:22">
      <c r="U90" s="86">
        <v>8280</v>
      </c>
    </row>
    <row r="91" spans="21:22">
      <c r="U91" s="86">
        <v>1878</v>
      </c>
    </row>
  </sheetData>
  <sheetProtection algorithmName="SHA-512" hashValue="29Qyq4UDdL1xE6mU+TPtZhVU6EmQG+xnSwAr4i62sSnUvvsaOSkFZjsvSsKEtLCTPQpRSLTjcpjfYT9i9rZhug==" saltValue="OJbIDVwszAH6Mh6Fi0HYMA==" spinCount="100000" sheet="1" objects="1" scenarios="1"/>
  <mergeCells count="11">
    <mergeCell ref="M1:P1"/>
    <mergeCell ref="M12:Y12"/>
    <mergeCell ref="B21:I21"/>
    <mergeCell ref="O43:R43"/>
    <mergeCell ref="B8:E8"/>
    <mergeCell ref="B9:E10"/>
    <mergeCell ref="B43:H43"/>
    <mergeCell ref="A6:I6"/>
    <mergeCell ref="B42:H42"/>
    <mergeCell ref="B20:I20"/>
    <mergeCell ref="O21:R21"/>
  </mergeCells>
  <conditionalFormatting sqref="E59:G59 F38:H40 E46:E58 F24:F36">
    <cfRule type="cellIs" dxfId="0" priority="6" stopIfTrue="1" operator="equal">
      <formula>0</formula>
    </cfRule>
  </conditionalFormatting>
  <printOptions horizontalCentered="1"/>
  <pageMargins left="0.78740157480314965" right="0.78740157480314965" top="0.77" bottom="3.937007874015748E-2" header="0" footer="0"/>
  <pageSetup paperSize="9" orientation="landscape" r:id="rId1"/>
  <headerFooter alignWithMargins="0"/>
  <ignoredErrors>
    <ignoredError sqref="C24:C33 D3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3"/>
  <sheetViews>
    <sheetView workbookViewId="0">
      <selection activeCell="C41" sqref="C41"/>
    </sheetView>
  </sheetViews>
  <sheetFormatPr baseColWidth="10" defaultRowHeight="12.75"/>
  <cols>
    <col min="1" max="16384" width="11.42578125" style="248"/>
  </cols>
  <sheetData>
    <row r="3" spans="2:3">
      <c r="B3" s="256">
        <v>20220401</v>
      </c>
      <c r="C3" s="248">
        <v>42</v>
      </c>
    </row>
    <row r="4" spans="2:3">
      <c r="B4" s="256">
        <v>20220402</v>
      </c>
      <c r="C4" s="248">
        <v>42</v>
      </c>
    </row>
    <row r="5" spans="2:3">
      <c r="B5" s="256">
        <v>20220403</v>
      </c>
      <c r="C5" s="248">
        <v>42</v>
      </c>
    </row>
    <row r="6" spans="2:3">
      <c r="B6" s="256">
        <v>20220404</v>
      </c>
      <c r="C6" s="248">
        <v>42</v>
      </c>
    </row>
    <row r="7" spans="2:3">
      <c r="B7" s="256">
        <v>20220405</v>
      </c>
      <c r="C7" s="248">
        <v>42.125</v>
      </c>
    </row>
    <row r="8" spans="2:3">
      <c r="B8" s="256">
        <v>20220406</v>
      </c>
      <c r="C8" s="248">
        <v>42.125</v>
      </c>
    </row>
    <row r="9" spans="2:3">
      <c r="B9" s="256">
        <v>20220407</v>
      </c>
      <c r="C9" s="248">
        <v>41.9375</v>
      </c>
    </row>
    <row r="10" spans="2:3">
      <c r="B10" s="256">
        <v>20220408</v>
      </c>
      <c r="C10" s="248">
        <v>41.9375</v>
      </c>
    </row>
    <row r="11" spans="2:3">
      <c r="B11" s="256">
        <v>20220409</v>
      </c>
      <c r="C11" s="248">
        <v>41.9375</v>
      </c>
    </row>
    <row r="12" spans="2:3">
      <c r="B12" s="256">
        <v>20220410</v>
      </c>
      <c r="C12" s="248">
        <v>41.9375</v>
      </c>
    </row>
    <row r="13" spans="2:3">
      <c r="B13" s="256">
        <v>20220411</v>
      </c>
      <c r="C13" s="248">
        <v>42</v>
      </c>
    </row>
    <row r="14" spans="2:3">
      <c r="B14" s="256">
        <v>20220412</v>
      </c>
      <c r="C14" s="248">
        <v>41.875</v>
      </c>
    </row>
    <row r="15" spans="2:3">
      <c r="B15" s="271">
        <v>20220413</v>
      </c>
      <c r="C15" s="272">
        <v>41.875</v>
      </c>
    </row>
    <row r="16" spans="2:3">
      <c r="B16" s="256">
        <v>20220414</v>
      </c>
      <c r="C16" s="248">
        <v>41.875</v>
      </c>
    </row>
    <row r="17" spans="2:3">
      <c r="B17" s="271">
        <v>20220415</v>
      </c>
      <c r="C17" s="248">
        <v>41.875</v>
      </c>
    </row>
    <row r="18" spans="2:3">
      <c r="B18" s="256">
        <v>20220416</v>
      </c>
      <c r="C18" s="248">
        <v>41.875</v>
      </c>
    </row>
    <row r="19" spans="2:3">
      <c r="B19" s="271">
        <v>20220417</v>
      </c>
      <c r="C19" s="248">
        <v>41.875</v>
      </c>
    </row>
    <row r="20" spans="2:3">
      <c r="B20" s="271">
        <v>20220418</v>
      </c>
      <c r="C20" s="248">
        <v>44.5625</v>
      </c>
    </row>
    <row r="21" spans="2:3">
      <c r="B21" s="271">
        <v>20220419</v>
      </c>
      <c r="C21" s="248">
        <v>44.25</v>
      </c>
    </row>
    <row r="23" spans="2:3">
      <c r="B23" s="256"/>
    </row>
    <row r="24" spans="2:3">
      <c r="B24" s="256"/>
    </row>
    <row r="25" spans="2:3">
      <c r="B25" s="256"/>
    </row>
    <row r="26" spans="2:3">
      <c r="B26" s="256"/>
    </row>
    <row r="27" spans="2:3">
      <c r="B27" s="256"/>
    </row>
    <row r="28" spans="2:3">
      <c r="B28" s="256"/>
    </row>
    <row r="29" spans="2:3">
      <c r="B29" s="256"/>
    </row>
    <row r="30" spans="2:3">
      <c r="B30" s="256"/>
    </row>
    <row r="31" spans="2:3">
      <c r="B31" s="256"/>
    </row>
    <row r="32" spans="2:3">
      <c r="B32" s="256"/>
    </row>
    <row r="33" spans="2:4">
      <c r="B33" s="256"/>
    </row>
    <row r="34" spans="2:4">
      <c r="B34" s="256"/>
    </row>
    <row r="35" spans="2:4">
      <c r="B35" s="256"/>
    </row>
    <row r="36" spans="2:4">
      <c r="B36" s="256"/>
    </row>
    <row r="37" spans="2:4">
      <c r="B37" s="256"/>
    </row>
    <row r="40" spans="2:4">
      <c r="C40" s="249" t="s">
        <v>37</v>
      </c>
    </row>
    <row r="41" spans="2:4">
      <c r="C41" s="258">
        <f>+AVERAGE(C3:C38)/100</f>
        <v>0.42213815789473685</v>
      </c>
      <c r="D41" s="251" t="s">
        <v>38</v>
      </c>
    </row>
    <row r="42" spans="2:4">
      <c r="C42" s="250"/>
      <c r="D42" s="251"/>
    </row>
    <row r="43" spans="2:4">
      <c r="C43" s="250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VDF A</vt:lpstr>
      <vt:lpstr>VDF A teórico</vt:lpstr>
      <vt:lpstr>VDF B</vt:lpstr>
      <vt:lpstr>Tasa Badlar</vt:lpstr>
      <vt:lpstr>'VDF A'!Área_de_impresión</vt:lpstr>
      <vt:lpstr>'VDF B'!Área_de_impresión</vt:lpstr>
      <vt:lpstr>'VDF B'!VN</vt:lpstr>
      <vt:lpstr>VN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Mauro Jorge Zambon</cp:lastModifiedBy>
  <cp:lastPrinted>2014-06-30T14:11:46Z</cp:lastPrinted>
  <dcterms:created xsi:type="dcterms:W3CDTF">1996-11-27T10:00:04Z</dcterms:created>
  <dcterms:modified xsi:type="dcterms:W3CDTF">2022-11-29T14:05:15Z</dcterms:modified>
</cp:coreProperties>
</file>