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F:\USUARIOS\Finanzas Corporativas\COLOCACIONES\VENTURINO\FF VENTURINO 2\Difusion\"/>
    </mc:Choice>
  </mc:AlternateContent>
  <bookViews>
    <workbookView xWindow="0" yWindow="0" windowWidth="20400" windowHeight="7620"/>
  </bookViews>
  <sheets>
    <sheet name="VDF A" sheetId="7" r:id="rId1"/>
    <sheet name="VDF B" sheetId="14" r:id="rId2"/>
    <sheet name="Tasa BADLAR" sheetId="13" r:id="rId3"/>
  </sheets>
  <definedNames>
    <definedName name="_xlnm.Print_Area" localSheetId="0">'VDF A'!$A$6:$H$33</definedName>
    <definedName name="_xlnm.Print_Area" localSheetId="1">'VDF B'!$A$6:$H$58</definedName>
    <definedName name="EmisionTOTAL">#REF!</definedName>
    <definedName name="TasaCuponA">#REF!</definedName>
    <definedName name="VN" localSheetId="1">'VDF B'!$F$20</definedName>
    <definedName name="VN">'VDF A'!$F$20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14" l="1"/>
  <c r="H42" i="14"/>
  <c r="K54" i="14"/>
  <c r="K53" i="14"/>
  <c r="K52" i="14"/>
  <c r="B54" i="14"/>
  <c r="B53" i="14"/>
  <c r="B52" i="14"/>
  <c r="B51" i="14"/>
  <c r="B50" i="14"/>
  <c r="B49" i="14"/>
  <c r="B48" i="14"/>
  <c r="B47" i="14"/>
  <c r="B46" i="14"/>
  <c r="B45" i="14"/>
  <c r="B44" i="14"/>
  <c r="B43" i="14"/>
  <c r="J54" i="14"/>
  <c r="J53" i="14"/>
  <c r="J52" i="14"/>
  <c r="J51" i="14"/>
  <c r="J50" i="14"/>
  <c r="J49" i="14"/>
  <c r="J48" i="14"/>
  <c r="J47" i="14"/>
  <c r="J46" i="14"/>
  <c r="J45" i="14"/>
  <c r="J44" i="14"/>
  <c r="L43" i="14"/>
  <c r="D43" i="7"/>
  <c r="D44" i="7"/>
  <c r="D45" i="7"/>
  <c r="D46" i="7"/>
  <c r="D47" i="7"/>
  <c r="D48" i="7"/>
  <c r="D49" i="7"/>
  <c r="D50" i="7"/>
  <c r="D51" i="7"/>
  <c r="D52" i="7"/>
  <c r="D42" i="7"/>
  <c r="O42" i="7"/>
  <c r="O43" i="7"/>
  <c r="O44" i="7"/>
  <c r="O45" i="7"/>
  <c r="O46" i="7"/>
  <c r="O47" i="7"/>
  <c r="O48" i="7"/>
  <c r="O49" i="7"/>
  <c r="O50" i="7"/>
  <c r="O51" i="7"/>
  <c r="O52" i="7"/>
  <c r="M47" i="7"/>
  <c r="M42" i="7"/>
  <c r="M43" i="7"/>
  <c r="B43" i="7"/>
  <c r="B44" i="7"/>
  <c r="B45" i="7"/>
  <c r="B46" i="7"/>
  <c r="B47" i="7"/>
  <c r="B48" i="7"/>
  <c r="B49" i="7"/>
  <c r="B50" i="7"/>
  <c r="B51" i="7"/>
  <c r="B52" i="7"/>
  <c r="B42" i="7"/>
  <c r="K52" i="7"/>
  <c r="K51" i="7"/>
  <c r="K50" i="7"/>
  <c r="K49" i="7"/>
  <c r="K48" i="7"/>
  <c r="K47" i="7"/>
  <c r="K46" i="7"/>
  <c r="K45" i="7"/>
  <c r="K44" i="7"/>
  <c r="K42" i="7"/>
  <c r="K23" i="7"/>
  <c r="J43" i="7"/>
  <c r="L43" i="7"/>
  <c r="J52" i="7"/>
  <c r="J51" i="7"/>
  <c r="J50" i="7"/>
  <c r="J49" i="7"/>
  <c r="J48" i="7"/>
  <c r="J47" i="7"/>
  <c r="J46" i="7"/>
  <c r="J45" i="7"/>
  <c r="J44" i="7"/>
  <c r="L42" i="7"/>
  <c r="K33" i="14"/>
  <c r="J33" i="7"/>
  <c r="K33" i="7"/>
  <c r="K34" i="14"/>
  <c r="J32" i="14"/>
  <c r="J33" i="14"/>
  <c r="J34" i="14"/>
  <c r="B24" i="7"/>
  <c r="K32" i="7"/>
  <c r="K31" i="7"/>
  <c r="K30" i="7"/>
  <c r="K29" i="7"/>
  <c r="K28" i="7"/>
  <c r="K27" i="7"/>
  <c r="K26" i="7"/>
  <c r="K25" i="7"/>
  <c r="L34" i="14"/>
  <c r="M43" i="14"/>
  <c r="L49" i="14"/>
  <c r="L33" i="14"/>
  <c r="L50" i="14"/>
  <c r="L45" i="14"/>
  <c r="L47" i="14"/>
  <c r="L52" i="14"/>
  <c r="L46" i="14"/>
  <c r="L54" i="14"/>
  <c r="L51" i="14"/>
  <c r="L48" i="14"/>
  <c r="L53" i="14"/>
  <c r="L44" i="14"/>
  <c r="L49" i="7"/>
  <c r="L47" i="7"/>
  <c r="L51" i="7"/>
  <c r="L44" i="7"/>
  <c r="L46" i="7"/>
  <c r="L48" i="7"/>
  <c r="L50" i="7"/>
  <c r="L52" i="7"/>
  <c r="L45" i="7"/>
  <c r="H22" i="7"/>
  <c r="H22" i="14"/>
  <c r="B33" i="13"/>
  <c r="B32" i="13"/>
  <c r="B26" i="13"/>
  <c r="B25" i="13"/>
  <c r="B19" i="13"/>
  <c r="B18" i="13"/>
  <c r="B12" i="13"/>
  <c r="B11" i="13"/>
  <c r="B3" i="13"/>
  <c r="J31" i="14"/>
  <c r="J30" i="14"/>
  <c r="J29" i="14"/>
  <c r="J28" i="14"/>
  <c r="J27" i="14"/>
  <c r="J26" i="14"/>
  <c r="J25" i="14"/>
  <c r="J24" i="14"/>
  <c r="L24" i="14"/>
  <c r="B24" i="14"/>
  <c r="B25" i="14" s="1"/>
  <c r="L23" i="14"/>
  <c r="L23" i="7"/>
  <c r="F43" i="14"/>
  <c r="N43" i="14"/>
  <c r="F42" i="7"/>
  <c r="E42" i="7"/>
  <c r="L25" i="14"/>
  <c r="B4" i="13"/>
  <c r="L27" i="14"/>
  <c r="L26" i="14"/>
  <c r="L28" i="14"/>
  <c r="L30" i="14"/>
  <c r="L31" i="14"/>
  <c r="L32" i="14"/>
  <c r="L29" i="14"/>
  <c r="E43" i="14"/>
  <c r="D43" i="14"/>
  <c r="N42" i="7"/>
  <c r="B23" i="14"/>
  <c r="C23" i="14"/>
  <c r="M23" i="14" s="1"/>
  <c r="B5" i="13"/>
  <c r="B23" i="7"/>
  <c r="G43" i="14"/>
  <c r="H43" i="14"/>
  <c r="M44" i="14"/>
  <c r="G42" i="7"/>
  <c r="H42" i="7"/>
  <c r="O43" i="14"/>
  <c r="P43" i="14"/>
  <c r="F44" i="14"/>
  <c r="F43" i="7"/>
  <c r="N43" i="7"/>
  <c r="P18" i="7"/>
  <c r="J28" i="7"/>
  <c r="J24" i="7"/>
  <c r="J25" i="7"/>
  <c r="J26" i="7"/>
  <c r="J27" i="7"/>
  <c r="J29" i="7"/>
  <c r="J30" i="7"/>
  <c r="J31" i="7"/>
  <c r="J32" i="7"/>
  <c r="L33" i="7"/>
  <c r="E44" i="14"/>
  <c r="D44" i="14"/>
  <c r="N44" i="14"/>
  <c r="E43" i="7"/>
  <c r="L28" i="7"/>
  <c r="L27" i="7"/>
  <c r="L31" i="7"/>
  <c r="L26" i="7"/>
  <c r="L32" i="7"/>
  <c r="L29" i="7"/>
  <c r="L30" i="7"/>
  <c r="L25" i="7"/>
  <c r="L24" i="7"/>
  <c r="G44" i="14"/>
  <c r="H44" i="14"/>
  <c r="M45" i="14"/>
  <c r="G43" i="7"/>
  <c r="H43" i="7"/>
  <c r="M44" i="7"/>
  <c r="O44" i="14"/>
  <c r="P44" i="14"/>
  <c r="F45" i="14"/>
  <c r="F44" i="7"/>
  <c r="E45" i="14"/>
  <c r="D45" i="14"/>
  <c r="N45" i="14"/>
  <c r="E44" i="7"/>
  <c r="N44" i="7"/>
  <c r="G45" i="14"/>
  <c r="H45" i="14"/>
  <c r="M46" i="14"/>
  <c r="G44" i="7"/>
  <c r="H44" i="7"/>
  <c r="M45" i="7"/>
  <c r="O45" i="14"/>
  <c r="P45" i="14"/>
  <c r="F46" i="14"/>
  <c r="N46" i="14"/>
  <c r="F45" i="7"/>
  <c r="E46" i="14"/>
  <c r="D46" i="14"/>
  <c r="E45" i="7"/>
  <c r="N45" i="7"/>
  <c r="G46" i="14"/>
  <c r="H46" i="14"/>
  <c r="M47" i="14"/>
  <c r="G45" i="7"/>
  <c r="H45" i="7"/>
  <c r="M46" i="7"/>
  <c r="O46" i="14"/>
  <c r="P46" i="14"/>
  <c r="F46" i="7"/>
  <c r="F47" i="14"/>
  <c r="E46" i="7"/>
  <c r="H46" i="7"/>
  <c r="N46" i="7"/>
  <c r="E47" i="14"/>
  <c r="D47" i="14"/>
  <c r="N47" i="14"/>
  <c r="G46" i="7"/>
  <c r="G47" i="14"/>
  <c r="H47" i="14"/>
  <c r="M48" i="14"/>
  <c r="F47" i="7"/>
  <c r="O47" i="14"/>
  <c r="P47" i="14"/>
  <c r="E47" i="7"/>
  <c r="G47" i="7"/>
  <c r="N47" i="7"/>
  <c r="F48" i="14"/>
  <c r="E48" i="14"/>
  <c r="D48" i="14"/>
  <c r="H47" i="7"/>
  <c r="N48" i="14"/>
  <c r="G48" i="14"/>
  <c r="O48" i="14"/>
  <c r="P48" i="14"/>
  <c r="H48" i="14"/>
  <c r="M49" i="14"/>
  <c r="M48" i="7"/>
  <c r="F48" i="7"/>
  <c r="F49" i="14"/>
  <c r="E49" i="14"/>
  <c r="E48" i="7"/>
  <c r="N48" i="7"/>
  <c r="G49" i="14"/>
  <c r="O49" i="14"/>
  <c r="P49" i="14"/>
  <c r="D49" i="14"/>
  <c r="N49" i="14"/>
  <c r="H49" i="14"/>
  <c r="M50" i="14"/>
  <c r="G48" i="7"/>
  <c r="H48" i="7"/>
  <c r="M49" i="7"/>
  <c r="F49" i="7"/>
  <c r="F50" i="14"/>
  <c r="E50" i="14"/>
  <c r="E49" i="7"/>
  <c r="G49" i="7"/>
  <c r="H49" i="7"/>
  <c r="M50" i="7"/>
  <c r="N49" i="7"/>
  <c r="G50" i="14"/>
  <c r="O50" i="14"/>
  <c r="P50" i="14"/>
  <c r="D50" i="14"/>
  <c r="N50" i="14"/>
  <c r="H50" i="14"/>
  <c r="M51" i="14"/>
  <c r="F50" i="7"/>
  <c r="F51" i="14"/>
  <c r="E51" i="14"/>
  <c r="D51" i="14"/>
  <c r="E50" i="7"/>
  <c r="N50" i="7"/>
  <c r="G50" i="7"/>
  <c r="H50" i="7"/>
  <c r="M51" i="7"/>
  <c r="G51" i="14"/>
  <c r="O51" i="14"/>
  <c r="P51" i="14"/>
  <c r="H51" i="14"/>
  <c r="M52" i="14"/>
  <c r="N51" i="14"/>
  <c r="F51" i="7"/>
  <c r="E51" i="7"/>
  <c r="G51" i="7"/>
  <c r="N51" i="7"/>
  <c r="H51" i="7"/>
  <c r="M52" i="7"/>
  <c r="F52" i="14"/>
  <c r="E52" i="14"/>
  <c r="D52" i="14"/>
  <c r="F52" i="7"/>
  <c r="G52" i="14"/>
  <c r="O52" i="14"/>
  <c r="P52" i="14"/>
  <c r="H52" i="14"/>
  <c r="M53" i="14"/>
  <c r="N52" i="14"/>
  <c r="E52" i="7"/>
  <c r="E53" i="7"/>
  <c r="F53" i="7"/>
  <c r="N52" i="7"/>
  <c r="D53" i="7"/>
  <c r="G52" i="7"/>
  <c r="G53" i="7"/>
  <c r="H52" i="7"/>
  <c r="F53" i="14"/>
  <c r="E53" i="14"/>
  <c r="D53" i="14"/>
  <c r="C23" i="7"/>
  <c r="M23" i="7"/>
  <c r="F23" i="7" s="1"/>
  <c r="E23" i="7" s="1"/>
  <c r="G53" i="14"/>
  <c r="O53" i="14"/>
  <c r="P53" i="14"/>
  <c r="H53" i="14"/>
  <c r="M54" i="14"/>
  <c r="N53" i="14"/>
  <c r="F54" i="14"/>
  <c r="E54" i="14"/>
  <c r="D54" i="14"/>
  <c r="D55" i="14"/>
  <c r="F55" i="14"/>
  <c r="N54" i="14"/>
  <c r="G54" i="14"/>
  <c r="E55" i="14"/>
  <c r="H54" i="14"/>
  <c r="O54" i="14"/>
  <c r="P54" i="14"/>
  <c r="G55" i="14"/>
  <c r="P42" i="14"/>
  <c r="F13" i="14"/>
  <c r="G22" i="14"/>
  <c r="G23" i="7" l="1"/>
  <c r="O23" i="7" s="1"/>
  <c r="H23" i="7"/>
  <c r="D23" i="7"/>
  <c r="N23" i="14"/>
  <c r="F23" i="14"/>
  <c r="E23" i="14" s="1"/>
  <c r="N23" i="7"/>
  <c r="C25" i="14"/>
  <c r="B26" i="14"/>
  <c r="C24" i="14"/>
  <c r="O41" i="7"/>
  <c r="P51" i="7" s="1"/>
  <c r="B25" i="7"/>
  <c r="C24" i="7"/>
  <c r="M24" i="7" s="1"/>
  <c r="P49" i="7"/>
  <c r="P52" i="7"/>
  <c r="P44" i="7"/>
  <c r="P43" i="7"/>
  <c r="P42" i="7"/>
  <c r="G23" i="14" l="1"/>
  <c r="O23" i="14" s="1"/>
  <c r="H23" i="14"/>
  <c r="M24" i="14" s="1"/>
  <c r="F24" i="14" s="1"/>
  <c r="E24" i="14" s="1"/>
  <c r="C26" i="14"/>
  <c r="B27" i="14"/>
  <c r="P46" i="7"/>
  <c r="F13" i="7"/>
  <c r="G22" i="7" s="1"/>
  <c r="P48" i="7"/>
  <c r="P47" i="7"/>
  <c r="P41" i="7" s="1"/>
  <c r="P50" i="7"/>
  <c r="P45" i="7"/>
  <c r="F24" i="7"/>
  <c r="B26" i="7"/>
  <c r="C25" i="7"/>
  <c r="C27" i="14" l="1"/>
  <c r="B28" i="14"/>
  <c r="G24" i="14"/>
  <c r="O24" i="14" s="1"/>
  <c r="H24" i="14"/>
  <c r="N24" i="14"/>
  <c r="E24" i="7"/>
  <c r="C26" i="7"/>
  <c r="B27" i="7"/>
  <c r="N24" i="7"/>
  <c r="B29" i="14" l="1"/>
  <c r="C28" i="14"/>
  <c r="M25" i="14"/>
  <c r="F25" i="14" s="1"/>
  <c r="E25" i="14" s="1"/>
  <c r="C27" i="7"/>
  <c r="B28" i="7"/>
  <c r="H24" i="7"/>
  <c r="G24" i="7"/>
  <c r="D24" i="7"/>
  <c r="G25" i="14" l="1"/>
  <c r="O25" i="14" s="1"/>
  <c r="H25" i="14"/>
  <c r="N25" i="14"/>
  <c r="B30" i="14"/>
  <c r="C29" i="14"/>
  <c r="B29" i="7"/>
  <c r="C28" i="7"/>
  <c r="O24" i="7"/>
  <c r="M25" i="7"/>
  <c r="C30" i="14" l="1"/>
  <c r="B31" i="14"/>
  <c r="M26" i="14"/>
  <c r="F26" i="14" s="1"/>
  <c r="E26" i="14" s="1"/>
  <c r="F25" i="7"/>
  <c r="B30" i="7"/>
  <c r="C29" i="7"/>
  <c r="G26" i="14" l="1"/>
  <c r="O26" i="14" s="1"/>
  <c r="H26" i="14"/>
  <c r="N26" i="14"/>
  <c r="B32" i="14"/>
  <c r="C31" i="14"/>
  <c r="E25" i="7"/>
  <c r="C30" i="7"/>
  <c r="B31" i="7"/>
  <c r="N25" i="7"/>
  <c r="C32" i="14" l="1"/>
  <c r="B33" i="14"/>
  <c r="M27" i="14"/>
  <c r="F27" i="14" s="1"/>
  <c r="C31" i="7"/>
  <c r="B32" i="7"/>
  <c r="D25" i="7"/>
  <c r="G25" i="7"/>
  <c r="H25" i="7"/>
  <c r="E27" i="14" l="1"/>
  <c r="N27" i="14"/>
  <c r="C33" i="14"/>
  <c r="B34" i="14"/>
  <c r="C34" i="14" s="1"/>
  <c r="M26" i="7"/>
  <c r="O25" i="7"/>
  <c r="B33" i="7"/>
  <c r="C33" i="7" s="1"/>
  <c r="C32" i="7"/>
  <c r="G27" i="14" l="1"/>
  <c r="O27" i="14" s="1"/>
  <c r="H27" i="14"/>
  <c r="F26" i="7"/>
  <c r="N26" i="7" s="1"/>
  <c r="M28" i="14" l="1"/>
  <c r="E26" i="7"/>
  <c r="F28" i="14" l="1"/>
  <c r="E28" i="14" s="1"/>
  <c r="G26" i="7"/>
  <c r="D26" i="7"/>
  <c r="H26" i="7"/>
  <c r="N28" i="14" l="1"/>
  <c r="G28" i="14"/>
  <c r="O28" i="14" s="1"/>
  <c r="H28" i="14"/>
  <c r="M27" i="7"/>
  <c r="O26" i="7"/>
  <c r="M29" i="14" l="1"/>
  <c r="F27" i="7"/>
  <c r="F29" i="14" l="1"/>
  <c r="E29" i="14" s="1"/>
  <c r="N29" i="14"/>
  <c r="E27" i="7"/>
  <c r="N27" i="7"/>
  <c r="G29" i="14" l="1"/>
  <c r="O29" i="14" s="1"/>
  <c r="H29" i="14"/>
  <c r="G27" i="7"/>
  <c r="D27" i="7"/>
  <c r="H27" i="7"/>
  <c r="M30" i="14" l="1"/>
  <c r="O27" i="7"/>
  <c r="M28" i="7"/>
  <c r="F30" i="14" l="1"/>
  <c r="E30" i="14" s="1"/>
  <c r="N30" i="14"/>
  <c r="F28" i="7"/>
  <c r="N28" i="7"/>
  <c r="G30" i="14" l="1"/>
  <c r="O30" i="14" s="1"/>
  <c r="H30" i="14"/>
  <c r="E28" i="7"/>
  <c r="M31" i="14" l="1"/>
  <c r="G28" i="7"/>
  <c r="D28" i="7"/>
  <c r="H28" i="7"/>
  <c r="F31" i="14" l="1"/>
  <c r="E31" i="14" s="1"/>
  <c r="N31" i="14"/>
  <c r="M29" i="7"/>
  <c r="O28" i="7"/>
  <c r="G31" i="14" l="1"/>
  <c r="O31" i="14" s="1"/>
  <c r="H31" i="14"/>
  <c r="M32" i="14" s="1"/>
  <c r="F29" i="7"/>
  <c r="E29" i="7" s="1"/>
  <c r="N29" i="7"/>
  <c r="G29" i="7" l="1"/>
  <c r="O29" i="7" s="1"/>
  <c r="D29" i="7"/>
  <c r="H29" i="7"/>
  <c r="M30" i="7" l="1"/>
  <c r="F30" i="7" l="1"/>
  <c r="E30" i="7" s="1"/>
  <c r="N30" i="7"/>
  <c r="G30" i="7" l="1"/>
  <c r="O30" i="7" s="1"/>
  <c r="D30" i="7"/>
  <c r="H30" i="7"/>
  <c r="M31" i="7" l="1"/>
  <c r="F31" i="7" l="1"/>
  <c r="E31" i="7" s="1"/>
  <c r="N31" i="7"/>
  <c r="G31" i="7" l="1"/>
  <c r="O31" i="7" s="1"/>
  <c r="D31" i="7"/>
  <c r="H31" i="7"/>
  <c r="M32" i="7" l="1"/>
  <c r="F32" i="7" l="1"/>
  <c r="E32" i="7" s="1"/>
  <c r="N32" i="7"/>
  <c r="D32" i="7" l="1"/>
  <c r="G32" i="7"/>
  <c r="H32" i="7"/>
  <c r="O32" i="7" l="1"/>
  <c r="K32" i="14"/>
  <c r="M33" i="7"/>
  <c r="F33" i="7" l="1"/>
  <c r="N33" i="7"/>
  <c r="F32" i="14"/>
  <c r="E32" i="14" s="1"/>
  <c r="D32" i="14" l="1"/>
  <c r="G32" i="14"/>
  <c r="H32" i="14"/>
  <c r="N32" i="14"/>
  <c r="E33" i="7"/>
  <c r="F34" i="7"/>
  <c r="D33" i="7" l="1"/>
  <c r="D34" i="7" s="1"/>
  <c r="G33" i="7"/>
  <c r="E34" i="7"/>
  <c r="H33" i="7"/>
  <c r="M33" i="14"/>
  <c r="F33" i="14" s="1"/>
  <c r="O32" i="14"/>
  <c r="E33" i="14" l="1"/>
  <c r="O33" i="7"/>
  <c r="F14" i="7"/>
  <c r="F16" i="7" s="1"/>
  <c r="G34" i="7"/>
  <c r="N33" i="14"/>
  <c r="P23" i="7" l="1"/>
  <c r="F15" i="7"/>
  <c r="F17" i="7" s="1"/>
  <c r="P24" i="7"/>
  <c r="P25" i="7"/>
  <c r="P26" i="7"/>
  <c r="P27" i="7"/>
  <c r="P28" i="7"/>
  <c r="P29" i="7"/>
  <c r="P30" i="7"/>
  <c r="P31" i="7"/>
  <c r="P32" i="7"/>
  <c r="P33" i="7"/>
  <c r="D33" i="14"/>
  <c r="G33" i="14"/>
  <c r="H33" i="14"/>
  <c r="O33" i="14" l="1"/>
  <c r="M34" i="14"/>
  <c r="P22" i="7"/>
  <c r="Q26" i="7" s="1"/>
  <c r="Q23" i="7" l="1"/>
  <c r="Q27" i="7"/>
  <c r="Q30" i="7"/>
  <c r="Q31" i="7"/>
  <c r="Q24" i="7"/>
  <c r="Q28" i="7"/>
  <c r="Q33" i="7"/>
  <c r="Q32" i="7"/>
  <c r="F34" i="14"/>
  <c r="N34" i="14" s="1"/>
  <c r="Q25" i="7"/>
  <c r="Q29" i="7"/>
  <c r="Q22" i="7" l="1"/>
  <c r="F18" i="7" s="1"/>
  <c r="E34" i="14"/>
  <c r="F35" i="14"/>
  <c r="D34" i="14" l="1"/>
  <c r="D35" i="14" s="1"/>
  <c r="G34" i="14"/>
  <c r="E35" i="14"/>
  <c r="H34" i="14"/>
  <c r="O34" i="14" l="1"/>
  <c r="F15" i="14"/>
  <c r="G35" i="14"/>
  <c r="P28" i="14" l="1"/>
  <c r="P27" i="14"/>
  <c r="P29" i="14"/>
  <c r="P31" i="14"/>
  <c r="F16" i="14"/>
  <c r="F17" i="14" s="1"/>
  <c r="P26" i="14"/>
  <c r="P30" i="14"/>
  <c r="P23" i="14"/>
  <c r="P25" i="14"/>
  <c r="P24" i="14"/>
  <c r="P32" i="14"/>
  <c r="P33" i="14"/>
  <c r="P34" i="14"/>
  <c r="P22" i="14" l="1"/>
  <c r="Q23" i="14"/>
  <c r="Q31" i="14"/>
  <c r="Q30" i="14"/>
  <c r="Q29" i="14"/>
  <c r="Q24" i="14"/>
  <c r="Q27" i="14"/>
  <c r="Q34" i="14"/>
  <c r="Q25" i="14"/>
  <c r="Q46" i="14" l="1"/>
  <c r="Q52" i="14"/>
  <c r="Q51" i="14"/>
  <c r="Q50" i="14"/>
  <c r="Q48" i="14"/>
  <c r="Q43" i="14"/>
  <c r="Q45" i="14"/>
  <c r="Q44" i="14"/>
  <c r="Q49" i="14"/>
  <c r="Q53" i="14"/>
  <c r="Q54" i="14"/>
  <c r="Q47" i="14"/>
  <c r="Q28" i="14"/>
  <c r="Q26" i="14"/>
  <c r="Q32" i="14"/>
  <c r="Q33" i="14"/>
  <c r="Q22" i="14" l="1"/>
  <c r="F14" i="14" s="1"/>
  <c r="Q42" i="14"/>
</calcChain>
</file>

<file path=xl/sharedStrings.xml><?xml version="1.0" encoding="utf-8"?>
<sst xmlns="http://schemas.openxmlformats.org/spreadsheetml/2006/main" count="110" uniqueCount="45">
  <si>
    <t>Fecha</t>
  </si>
  <si>
    <t>Amortización</t>
  </si>
  <si>
    <t>Interés</t>
  </si>
  <si>
    <t>Total Flujo</t>
  </si>
  <si>
    <t>Duration</t>
  </si>
  <si>
    <t>% Amortiz.</t>
  </si>
  <si>
    <t>Saldo de Capital</t>
  </si>
  <si>
    <t>Valor Nominal:</t>
  </si>
  <si>
    <t>TIR Solicitada:</t>
  </si>
  <si>
    <t>Mínimo</t>
  </si>
  <si>
    <t>Máximo</t>
  </si>
  <si>
    <t>Flujo Disponible</t>
  </si>
  <si>
    <t>Interés Período Devengado</t>
  </si>
  <si>
    <t>Interés Acumulado a Pagar</t>
  </si>
  <si>
    <t>Cupón</t>
  </si>
  <si>
    <t>Calculadora Fideicomiso Financiero Venturino II (VDF A)</t>
  </si>
  <si>
    <t>Valor</t>
  </si>
  <si>
    <t>Monto del Servicio a pagar</t>
  </si>
  <si>
    <t>Valor Actual</t>
  </si>
  <si>
    <t>Calculadora Fideicomiso Financiero Venturino II (VDF B)</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</si>
  <si>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</si>
  <si>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TIR ofertada:</t>
  </si>
  <si>
    <t>Interés Devengado</t>
  </si>
  <si>
    <t>Intereses VDF B</t>
  </si>
  <si>
    <t>Días para el cálculo</t>
  </si>
  <si>
    <t>A un TC de $135</t>
  </si>
  <si>
    <t>Intereses VDF A</t>
  </si>
  <si>
    <t>VN a suscribir</t>
  </si>
  <si>
    <t>TIR ofertada</t>
  </si>
  <si>
    <t>Precio de Corte</t>
  </si>
  <si>
    <t>Duration (meses)</t>
  </si>
  <si>
    <t>TNA</t>
  </si>
  <si>
    <t>Spread s/BADLAR</t>
  </si>
  <si>
    <t>Condiciones de emisión:</t>
  </si>
  <si>
    <t>BADLAR Proyectada</t>
  </si>
  <si>
    <t>VDF A - FLUJO DE FONDOS AL CUPÓN MÍNIMO</t>
  </si>
  <si>
    <t>VDF A - FLUJO DE FONDOS REAL</t>
  </si>
  <si>
    <t>TIR Real</t>
  </si>
  <si>
    <t>Cupón Mínimo</t>
  </si>
  <si>
    <t>VDF B - FLUJO DE FONDOS AL CUPÓN MÍNIMO</t>
  </si>
  <si>
    <t>VDF B - FLUJO DE FONDOS REAL</t>
  </si>
  <si>
    <t>Badlar</t>
  </si>
  <si>
    <t>En la celda C12 indicar la cantidad de títulos en VN a suscribir. En la F12, la TIR ofertada. En la columna B a partir de la fila 24 podrán modificar la tasa BADLAR conforme a sus proyecciones. La BADLAR aplicable para la renta de octubre ya está definida. Por último, corroborar que en la celda C17, el valor coincida con la última BADLAR informada.</t>
  </si>
  <si>
    <t>TNA 30d</t>
  </si>
  <si>
    <t>TNA 90d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</si>
</sst>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quot;$&quot;\ #,##0;&quot;$&quot;\ \-#,##0"/>
    <numFmt numFmtId="165" formatCode="&quot;$&quot;\ #,##0;[Red]&quot;$&quot;\ \-#,##0"/>
    <numFmt numFmtId="166" formatCode="&quot;$&quot;\ #,##0.00;&quot;$&quot;\ \-#,##0.00"/>
    <numFmt numFmtId="167" formatCode="&quot;$&quot;\ #,##0.00;[Red]&quot;$&quot;\ \-#,##0.00"/>
    <numFmt numFmtId="168" formatCode="_ &quot;$&quot;\ * #,##0.00_ ;_ &quot;$&quot;\ * \-#,##0.00_ ;_ &quot;$&quot;\ * &quot;-&quot;??_ ;_ @_ "/>
    <numFmt numFmtId="169" formatCode="_ * #,##0.00_ ;_ * \-#,##0.00_ ;_ * &quot;-&quot;??_ ;_ @_ "/>
    <numFmt numFmtId="170" formatCode="_-* #,##0.00\ _P_t_s_-;\-* #,##0.00\ _P_t_s_-;_-* &quot;-&quot;??\ _P_t_s_-;_-@_-"/>
    <numFmt numFmtId="171" formatCode="_-* #,##0\ _P_t_s_-;\-* #,##0\ _P_t_s_-;_-* &quot;-&quot;??\ _P_t_s_-;_-@_-"/>
    <numFmt numFmtId="172" formatCode="_-* #,##0.00\ [$€]_-;\-* #,##0.00\ [$€]_-;_-* &quot;-&quot;??\ [$€]_-;_-@_-"/>
    <numFmt numFmtId="173" formatCode="0.0000%"/>
    <numFmt numFmtId="174" formatCode="&quot;$&quot;\ #,##0.0000;&quot;$&quot;\ \-#,##0.0000"/>
    <numFmt numFmtId="175" formatCode="0.00000%"/>
    <numFmt numFmtId="176" formatCode="_-* #,##0.0000_-;\-* #,##0.0000_-;_-* &quot;-&quot;??_-;_-@_-"/>
    <numFmt numFmtId="177" formatCode="_-* #,##0.0000\ _P_t_s_-;\-* #,##0.0000\ _P_t_s_-;_-* &quot;-&quot;??\ _P_t_s_-;_-@_-"/>
  </numFmts>
  <fonts count="20" x14ac:knownFonts="1">
    <font>
      <sz val="10"/>
      <name val="Arial"/>
    </font>
    <font>
      <sz val="10"/>
      <name val="Arial"/>
      <family val="2"/>
    </font>
    <font>
      <sz val="10"/>
      <name val="Arial"/>
      <family val="2"/>
    </font>
    <font>
      <b/>
      <sz val="10"/>
      <name val="Arial"/>
      <family val="2"/>
    </font>
    <font>
      <sz val="8"/>
      <name val="Arial"/>
      <family val="2"/>
    </font>
    <font>
      <b/>
      <sz val="12"/>
      <name val="Arial"/>
      <family val="2"/>
    </font>
    <font>
      <i/>
      <sz val="10"/>
      <name val="Arial"/>
      <family val="2"/>
    </font>
    <font>
      <b/>
      <u/>
      <sz val="8"/>
      <name val="Arial"/>
      <family val="2"/>
    </font>
    <font>
      <b/>
      <sz val="18"/>
      <name val="Arial"/>
      <family val="2"/>
    </font>
    <font>
      <b/>
      <u/>
      <sz val="10"/>
      <name val="Arial"/>
      <family val="2"/>
    </font>
    <font>
      <b/>
      <sz val="11"/>
      <name val="Arial"/>
      <family val="2"/>
    </font>
    <font>
      <sz val="9"/>
      <name val="Arial"/>
      <family val="2"/>
    </font>
    <font>
      <sz val="11"/>
      <color theme="1"/>
      <name val="Calibri"/>
      <family val="2"/>
      <scheme val="minor"/>
    </font>
    <font>
      <b/>
      <sz val="11"/>
      <color theme="1"/>
      <name val="Arial"/>
      <family val="2"/>
    </font>
    <font>
      <sz val="11"/>
      <color theme="1"/>
      <name val="Arial"/>
      <family val="2"/>
    </font>
    <font>
      <b/>
      <sz val="10"/>
      <color theme="0"/>
      <name val="Arial"/>
      <family val="2"/>
    </font>
    <font>
      <sz val="9"/>
      <color theme="2" tint="-0.749992370372631"/>
      <name val="Arial"/>
      <family val="2"/>
    </font>
    <font>
      <b/>
      <sz val="10"/>
      <color theme="3"/>
      <name val="Arial"/>
      <family val="2"/>
    </font>
    <font>
      <sz val="10"/>
      <color theme="0"/>
      <name val="Arial"/>
      <family val="2"/>
    </font>
    <font>
      <sz val="10"/>
      <name val="Calibri"/>
      <family val="2"/>
      <scheme val="minor"/>
    </font>
  </fonts>
  <fills count="7">
    <fill>
      <patternFill patternType="none"/>
    </fill>
    <fill>
      <patternFill patternType="gray125"/>
    </fill>
    <fill>
      <patternFill patternType="solid">
        <fgColor indexed="65"/>
        <bgColor indexed="8"/>
      </patternFill>
    </fill>
    <fill>
      <patternFill patternType="solid">
        <fgColor theme="6" tint="0.79998168889431442"/>
        <bgColor indexed="8"/>
      </patternFill>
    </fill>
    <fill>
      <patternFill patternType="solid">
        <fgColor theme="6" tint="0.79998168889431442"/>
        <bgColor indexed="64"/>
      </patternFill>
    </fill>
    <fill>
      <patternFill patternType="solid">
        <fgColor theme="0"/>
        <bgColor indexed="64"/>
      </patternFill>
    </fill>
    <fill>
      <patternFill patternType="solid">
        <fgColor theme="0"/>
        <bgColor indexed="8"/>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rgb="FFDDDDDD"/>
      </left>
      <right style="medium">
        <color rgb="FFDDDDDD"/>
      </right>
      <top style="medium">
        <color rgb="FFDDDDDD"/>
      </top>
      <bottom style="thick">
        <color rgb="FFDDDDDD"/>
      </bottom>
      <diagonal/>
    </border>
    <border>
      <left style="medium">
        <color rgb="FFDDDDDD"/>
      </left>
      <right style="medium">
        <color rgb="FFDDDDDD"/>
      </right>
      <top style="medium">
        <color rgb="FFDDDDDD"/>
      </top>
      <bottom style="medium">
        <color rgb="FFDDDDDD"/>
      </bottom>
      <diagonal/>
    </border>
    <border>
      <left/>
      <right style="thin">
        <color theme="2" tint="-0.499984740745262"/>
      </right>
      <top style="thin">
        <color indexed="64"/>
      </top>
      <bottom style="thin">
        <color indexed="64"/>
      </bottom>
      <diagonal/>
    </border>
  </borders>
  <cellStyleXfs count="10">
    <xf numFmtId="0" fontId="0" fillId="0" borderId="0"/>
    <xf numFmtId="0" fontId="2" fillId="0" borderId="0"/>
    <xf numFmtId="172" fontId="1" fillId="0" borderId="0" applyFont="0" applyFill="0" applyBorder="0" applyAlignment="0" applyProtection="0"/>
    <xf numFmtId="170" fontId="1" fillId="0" borderId="0" applyFont="0" applyFill="0" applyBorder="0" applyAlignment="0" applyProtection="0"/>
    <xf numFmtId="169" fontId="1" fillId="0" borderId="0" applyFont="0" applyFill="0" applyBorder="0" applyAlignment="0" applyProtection="0"/>
    <xf numFmtId="43" fontId="12" fillId="0" borderId="0" applyFont="0" applyFill="0" applyBorder="0" applyAlignment="0" applyProtection="0"/>
    <xf numFmtId="168" fontId="1" fillId="0" borderId="0" applyFont="0" applyFill="0" applyBorder="0" applyAlignment="0" applyProtection="0"/>
    <xf numFmtId="0" fontId="1" fillId="0" borderId="0"/>
    <xf numFmtId="0" fontId="12" fillId="0" borderId="0"/>
    <xf numFmtId="9" fontId="1" fillId="0" borderId="0" applyFont="0" applyFill="0" applyBorder="0" applyAlignment="0" applyProtection="0"/>
  </cellStyleXfs>
  <cellXfs count="213">
    <xf numFmtId="0" fontId="0" fillId="0" borderId="0" xfId="0"/>
    <xf numFmtId="0" fontId="13" fillId="0" borderId="16" xfId="8" applyFont="1" applyBorder="1" applyAlignment="1">
      <alignment horizontal="center" wrapText="1"/>
    </xf>
    <xf numFmtId="0" fontId="12" fillId="0" borderId="0" xfId="8"/>
    <xf numFmtId="14" fontId="14" fillId="0" borderId="17" xfId="8" applyNumberFormat="1" applyFont="1" applyBorder="1" applyAlignment="1">
      <alignment vertical="center" wrapText="1"/>
    </xf>
    <xf numFmtId="176" fontId="14" fillId="0" borderId="17" xfId="5" applyNumberFormat="1" applyFont="1" applyBorder="1" applyAlignment="1">
      <alignment horizontal="right" vertical="center" wrapText="1"/>
    </xf>
    <xf numFmtId="0" fontId="1" fillId="2" borderId="0" xfId="0" applyFont="1" applyFill="1" applyProtection="1">
      <protection hidden="1"/>
    </xf>
    <xf numFmtId="0" fontId="4" fillId="3" borderId="0" xfId="0" applyFont="1" applyFill="1" applyProtection="1">
      <protection hidden="1"/>
    </xf>
    <xf numFmtId="0" fontId="4" fillId="3" borderId="0" xfId="0" applyFont="1" applyFill="1" applyAlignment="1" applyProtection="1">
      <alignment horizontal="center"/>
      <protection hidden="1"/>
    </xf>
    <xf numFmtId="0" fontId="1" fillId="3" borderId="0" xfId="0" applyFont="1" applyFill="1" applyProtection="1">
      <protection hidden="1"/>
    </xf>
    <xf numFmtId="0" fontId="7" fillId="3" borderId="0" xfId="0" applyFont="1" applyFill="1" applyAlignment="1" applyProtection="1">
      <alignment horizontal="center"/>
      <protection hidden="1"/>
    </xf>
    <xf numFmtId="16" fontId="4" fillId="3" borderId="0" xfId="0" applyNumberFormat="1" applyFont="1" applyFill="1" applyProtection="1">
      <protection hidden="1"/>
    </xf>
    <xf numFmtId="177" fontId="4" fillId="3" borderId="0" xfId="3" applyNumberFormat="1" applyFont="1" applyFill="1" applyProtection="1">
      <protection hidden="1"/>
    </xf>
    <xf numFmtId="0" fontId="9" fillId="3" borderId="0" xfId="0" applyFont="1" applyFill="1" applyAlignment="1" applyProtection="1">
      <alignment horizontal="center"/>
      <protection hidden="1"/>
    </xf>
    <xf numFmtId="0" fontId="1" fillId="3" borderId="0" xfId="0" applyFont="1" applyFill="1" applyAlignment="1" applyProtection="1">
      <alignment horizontal="center"/>
      <protection hidden="1"/>
    </xf>
    <xf numFmtId="0" fontId="1" fillId="4" borderId="0" xfId="0" applyFont="1" applyFill="1" applyProtection="1">
      <protection hidden="1"/>
    </xf>
    <xf numFmtId="170" fontId="1" fillId="3" borderId="0" xfId="3" applyFont="1" applyFill="1" applyProtection="1">
      <protection hidden="1"/>
    </xf>
    <xf numFmtId="173" fontId="15" fillId="4" borderId="0" xfId="9" applyNumberFormat="1" applyFont="1" applyFill="1" applyBorder="1" applyProtection="1">
      <protection hidden="1"/>
    </xf>
    <xf numFmtId="0" fontId="9" fillId="3" borderId="0" xfId="0" applyFont="1" applyFill="1" applyProtection="1">
      <protection hidden="1"/>
    </xf>
    <xf numFmtId="0" fontId="3" fillId="3" borderId="0" xfId="0" applyFont="1" applyFill="1" applyAlignment="1" applyProtection="1">
      <alignment horizontal="center"/>
      <protection hidden="1"/>
    </xf>
    <xf numFmtId="0" fontId="3" fillId="3" borderId="1"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14" fontId="1" fillId="4" borderId="1" xfId="0" applyNumberFormat="1" applyFont="1" applyFill="1" applyBorder="1" applyAlignment="1" applyProtection="1">
      <alignment horizontal="center"/>
      <protection hidden="1"/>
    </xf>
    <xf numFmtId="14" fontId="1" fillId="4" borderId="4" xfId="0" applyNumberFormat="1" applyFont="1" applyFill="1" applyBorder="1" applyAlignment="1" applyProtection="1">
      <alignment horizontal="center"/>
      <protection hidden="1"/>
    </xf>
    <xf numFmtId="164" fontId="1" fillId="4" borderId="4" xfId="3" applyNumberFormat="1" applyFont="1" applyFill="1" applyBorder="1" applyAlignment="1" applyProtection="1">
      <alignment horizontal="center"/>
      <protection hidden="1"/>
    </xf>
    <xf numFmtId="164" fontId="1" fillId="4" borderId="5" xfId="3" applyNumberFormat="1" applyFont="1" applyFill="1" applyBorder="1" applyAlignment="1" applyProtection="1">
      <alignment horizontal="center"/>
      <protection hidden="1"/>
    </xf>
    <xf numFmtId="2" fontId="1" fillId="4" borderId="5" xfId="3" applyNumberFormat="1" applyFont="1" applyFill="1" applyBorder="1" applyAlignment="1" applyProtection="1">
      <alignment horizontal="center"/>
      <protection hidden="1"/>
    </xf>
    <xf numFmtId="14" fontId="1" fillId="4" borderId="3" xfId="0" applyNumberFormat="1" applyFont="1" applyFill="1" applyBorder="1" applyAlignment="1" applyProtection="1">
      <alignment horizontal="center"/>
      <protection hidden="1"/>
    </xf>
    <xf numFmtId="164" fontId="1" fillId="4" borderId="6" xfId="3" applyNumberFormat="1" applyFont="1" applyFill="1" applyBorder="1" applyAlignment="1" applyProtection="1">
      <alignment horizontal="center"/>
      <protection hidden="1"/>
    </xf>
    <xf numFmtId="2" fontId="1" fillId="4" borderId="6" xfId="3" applyNumberFormat="1" applyFont="1" applyFill="1" applyBorder="1" applyAlignment="1" applyProtection="1">
      <alignment horizontal="center"/>
      <protection hidden="1"/>
    </xf>
    <xf numFmtId="164" fontId="1" fillId="3" borderId="0" xfId="0" applyNumberFormat="1" applyFont="1" applyFill="1" applyProtection="1">
      <protection hidden="1"/>
    </xf>
    <xf numFmtId="14" fontId="1" fillId="4" borderId="7" xfId="0" applyNumberFormat="1" applyFont="1" applyFill="1" applyBorder="1" applyAlignment="1" applyProtection="1">
      <alignment horizontal="center"/>
      <protection hidden="1"/>
    </xf>
    <xf numFmtId="164" fontId="1" fillId="4" borderId="8" xfId="3" applyNumberFormat="1" applyFont="1" applyFill="1" applyBorder="1" applyAlignment="1" applyProtection="1">
      <alignment horizontal="center"/>
      <protection hidden="1"/>
    </xf>
    <xf numFmtId="2" fontId="1" fillId="4" borderId="8" xfId="3" applyNumberFormat="1" applyFont="1" applyFill="1" applyBorder="1" applyAlignment="1" applyProtection="1">
      <alignment horizontal="center"/>
      <protection hidden="1"/>
    </xf>
    <xf numFmtId="170" fontId="1" fillId="3" borderId="0" xfId="3" applyFont="1" applyFill="1" applyBorder="1" applyProtection="1">
      <protection hidden="1"/>
    </xf>
    <xf numFmtId="171" fontId="1" fillId="3" borderId="0" xfId="3" applyNumberFormat="1" applyFont="1" applyFill="1" applyBorder="1" applyProtection="1">
      <protection hidden="1"/>
    </xf>
    <xf numFmtId="174" fontId="1" fillId="3" borderId="0" xfId="0" applyNumberFormat="1" applyFont="1" applyFill="1" applyProtection="1">
      <protection hidden="1"/>
    </xf>
    <xf numFmtId="166" fontId="1" fillId="3" borderId="0" xfId="0" applyNumberFormat="1" applyFont="1" applyFill="1" applyProtection="1">
      <protection hidden="1"/>
    </xf>
    <xf numFmtId="14" fontId="4" fillId="3" borderId="0" xfId="0" applyNumberFormat="1" applyFont="1" applyFill="1" applyProtection="1">
      <protection hidden="1"/>
    </xf>
    <xf numFmtId="171" fontId="4" fillId="3" borderId="0" xfId="3" applyNumberFormat="1" applyFont="1" applyFill="1" applyProtection="1">
      <protection hidden="1"/>
    </xf>
    <xf numFmtId="171" fontId="4" fillId="3" borderId="0" xfId="0" applyNumberFormat="1" applyFont="1" applyFill="1" applyProtection="1">
      <protection hidden="1"/>
    </xf>
    <xf numFmtId="0" fontId="4" fillId="3" borderId="0" xfId="0" applyFont="1" applyFill="1" applyAlignment="1" applyProtection="1">
      <alignment horizontal="right"/>
      <protection hidden="1"/>
    </xf>
    <xf numFmtId="10" fontId="4" fillId="3" borderId="0" xfId="9" applyNumberFormat="1" applyFont="1" applyFill="1" applyProtection="1">
      <protection hidden="1"/>
    </xf>
    <xf numFmtId="10" fontId="1" fillId="3" borderId="0" xfId="9" applyNumberFormat="1" applyFont="1" applyFill="1" applyProtection="1">
      <protection hidden="1"/>
    </xf>
    <xf numFmtId="171" fontId="1" fillId="3" borderId="9" xfId="3" applyNumberFormat="1" applyFont="1" applyFill="1" applyBorder="1" applyProtection="1">
      <protection hidden="1"/>
    </xf>
    <xf numFmtId="0" fontId="3" fillId="3" borderId="2" xfId="0" applyFont="1" applyFill="1" applyBorder="1" applyProtection="1">
      <protection hidden="1"/>
    </xf>
    <xf numFmtId="167" fontId="3" fillId="3" borderId="2" xfId="3" applyNumberFormat="1" applyFont="1" applyFill="1" applyBorder="1" applyAlignment="1" applyProtection="1">
      <protection hidden="1"/>
    </xf>
    <xf numFmtId="173" fontId="3" fillId="3" borderId="2" xfId="9" applyNumberFormat="1" applyFont="1" applyFill="1" applyBorder="1" applyProtection="1">
      <protection hidden="1"/>
    </xf>
    <xf numFmtId="14" fontId="1" fillId="3" borderId="1" xfId="0" applyNumberFormat="1" applyFont="1" applyFill="1" applyBorder="1" applyProtection="1">
      <protection hidden="1"/>
    </xf>
    <xf numFmtId="0" fontId="1" fillId="3" borderId="3" xfId="0" applyFont="1" applyFill="1" applyBorder="1" applyAlignment="1" applyProtection="1">
      <alignment horizontal="center"/>
      <protection hidden="1"/>
    </xf>
    <xf numFmtId="0" fontId="1" fillId="3" borderId="7" xfId="0" applyFont="1" applyFill="1" applyBorder="1" applyAlignment="1" applyProtection="1">
      <alignment horizontal="center"/>
      <protection hidden="1"/>
    </xf>
    <xf numFmtId="0" fontId="0" fillId="4" borderId="0" xfId="0" applyFill="1" applyProtection="1">
      <protection hidden="1"/>
    </xf>
    <xf numFmtId="0" fontId="8" fillId="2" borderId="0" xfId="0" applyFont="1" applyFill="1" applyAlignment="1" applyProtection="1">
      <alignment horizontal="center"/>
      <protection hidden="1"/>
    </xf>
    <xf numFmtId="0" fontId="16" fillId="5" borderId="0" xfId="1" applyFont="1" applyFill="1" applyAlignment="1" applyProtection="1">
      <alignment vertical="center" wrapText="1"/>
      <protection hidden="1"/>
    </xf>
    <xf numFmtId="0" fontId="3" fillId="6" borderId="0" xfId="0" applyFont="1" applyFill="1" applyProtection="1">
      <protection hidden="1"/>
    </xf>
    <xf numFmtId="0" fontId="1" fillId="6" borderId="0" xfId="0" applyFont="1" applyFill="1" applyProtection="1">
      <protection hidden="1"/>
    </xf>
    <xf numFmtId="0" fontId="3" fillId="6" borderId="2" xfId="0" applyFont="1" applyFill="1" applyBorder="1" applyProtection="1">
      <protection hidden="1"/>
    </xf>
    <xf numFmtId="173" fontId="3" fillId="6" borderId="2" xfId="9" applyNumberFormat="1" applyFont="1" applyFill="1" applyBorder="1" applyProtection="1">
      <protection hidden="1"/>
    </xf>
    <xf numFmtId="175" fontId="1" fillId="2" borderId="0" xfId="9" applyNumberFormat="1" applyFont="1" applyFill="1" applyProtection="1">
      <protection hidden="1"/>
    </xf>
    <xf numFmtId="10" fontId="3" fillId="6" borderId="0" xfId="0" applyNumberFormat="1" applyFont="1" applyFill="1" applyAlignment="1" applyProtection="1">
      <alignment horizontal="right"/>
      <protection hidden="1"/>
    </xf>
    <xf numFmtId="0" fontId="3" fillId="5" borderId="0" xfId="0" applyFont="1" applyFill="1" applyProtection="1">
      <protection hidden="1"/>
    </xf>
    <xf numFmtId="169" fontId="3" fillId="5" borderId="0" xfId="9" applyNumberFormat="1" applyFont="1" applyFill="1" applyBorder="1" applyProtection="1">
      <protection hidden="1"/>
    </xf>
    <xf numFmtId="171" fontId="1" fillId="2" borderId="0" xfId="3" applyNumberFormat="1" applyFont="1" applyFill="1" applyProtection="1">
      <protection hidden="1"/>
    </xf>
    <xf numFmtId="10" fontId="3" fillId="6" borderId="0" xfId="9" applyNumberFormat="1" applyFont="1" applyFill="1" applyBorder="1" applyProtection="1">
      <protection hidden="1"/>
    </xf>
    <xf numFmtId="10" fontId="1" fillId="2" borderId="0" xfId="0" applyNumberFormat="1" applyFont="1" applyFill="1" applyProtection="1">
      <protection hidden="1"/>
    </xf>
    <xf numFmtId="10" fontId="3" fillId="6" borderId="0" xfId="0" applyNumberFormat="1" applyFont="1" applyFill="1" applyAlignment="1" applyProtection="1">
      <alignment horizontal="center"/>
      <protection hidden="1"/>
    </xf>
    <xf numFmtId="10" fontId="6" fillId="2" borderId="0" xfId="0" applyNumberFormat="1" applyFont="1" applyFill="1" applyProtection="1">
      <protection hidden="1"/>
    </xf>
    <xf numFmtId="0" fontId="1" fillId="2" borderId="0" xfId="0" applyFont="1" applyFill="1" applyAlignment="1" applyProtection="1">
      <alignment horizontal="center"/>
      <protection hidden="1"/>
    </xf>
    <xf numFmtId="14" fontId="17" fillId="0" borderId="4" xfId="0" applyNumberFormat="1" applyFont="1" applyBorder="1" applyAlignment="1" applyProtection="1">
      <alignment horizontal="center"/>
      <protection hidden="1"/>
    </xf>
    <xf numFmtId="173" fontId="1" fillId="0" borderId="6" xfId="0" applyNumberFormat="1" applyFont="1" applyBorder="1" applyAlignment="1" applyProtection="1">
      <alignment horizontal="center"/>
      <protection hidden="1"/>
    </xf>
    <xf numFmtId="10" fontId="15" fillId="6" borderId="0" xfId="9" applyNumberFormat="1" applyFont="1" applyFill="1" applyBorder="1" applyAlignment="1" applyProtection="1">
      <alignment horizontal="center"/>
      <protection hidden="1"/>
    </xf>
    <xf numFmtId="164" fontId="15" fillId="5" borderId="0" xfId="3" applyNumberFormat="1" applyFont="1" applyFill="1" applyBorder="1" applyAlignment="1" applyProtection="1">
      <alignment horizontal="center"/>
      <protection hidden="1"/>
    </xf>
    <xf numFmtId="164" fontId="18" fillId="5" borderId="0" xfId="0" applyNumberFormat="1" applyFont="1" applyFill="1" applyAlignment="1" applyProtection="1">
      <alignment horizontal="center"/>
      <protection hidden="1"/>
    </xf>
    <xf numFmtId="173" fontId="1" fillId="5" borderId="0" xfId="0" applyNumberFormat="1" applyFont="1" applyFill="1" applyAlignment="1" applyProtection="1">
      <alignment horizontal="center"/>
      <protection hidden="1"/>
    </xf>
    <xf numFmtId="165" fontId="3" fillId="3" borderId="0" xfId="3" applyNumberFormat="1" applyFont="1" applyFill="1" applyBorder="1" applyAlignment="1" applyProtection="1">
      <alignment horizontal="center"/>
      <protection locked="0" hidden="1"/>
    </xf>
    <xf numFmtId="173" fontId="1" fillId="4" borderId="6" xfId="0" applyNumberFormat="1" applyFont="1" applyFill="1" applyBorder="1" applyAlignment="1" applyProtection="1">
      <alignment horizontal="center"/>
      <protection locked="0" hidden="1"/>
    </xf>
    <xf numFmtId="173" fontId="1" fillId="4" borderId="0" xfId="0" applyNumberFormat="1" applyFont="1" applyFill="1" applyAlignment="1" applyProtection="1">
      <alignment horizontal="center"/>
      <protection locked="0" hidden="1"/>
    </xf>
    <xf numFmtId="0" fontId="0" fillId="0" borderId="0" xfId="0" applyProtection="1">
      <protection hidden="1"/>
    </xf>
    <xf numFmtId="164" fontId="1" fillId="0" borderId="4" xfId="0" applyNumberFormat="1" applyFont="1" applyBorder="1" applyAlignment="1" applyProtection="1">
      <alignment horizontal="right"/>
      <protection hidden="1"/>
    </xf>
    <xf numFmtId="164" fontId="1" fillId="5" borderId="6" xfId="0" applyNumberFormat="1" applyFont="1" applyFill="1" applyBorder="1" applyAlignment="1" applyProtection="1">
      <alignment horizontal="right"/>
      <protection hidden="1"/>
    </xf>
    <xf numFmtId="164" fontId="1" fillId="0" borderId="6" xfId="0" applyNumberFormat="1" applyFont="1" applyBorder="1" applyAlignment="1" applyProtection="1">
      <alignment horizontal="right"/>
      <protection hidden="1"/>
    </xf>
    <xf numFmtId="164" fontId="1" fillId="0" borderId="11" xfId="0" applyNumberFormat="1" applyFont="1" applyBorder="1" applyAlignment="1" applyProtection="1">
      <alignment horizontal="right"/>
      <protection hidden="1"/>
    </xf>
    <xf numFmtId="164" fontId="1" fillId="0" borderId="1" xfId="0" applyNumberFormat="1" applyFont="1" applyBorder="1" applyAlignment="1" applyProtection="1">
      <alignment horizontal="right"/>
      <protection hidden="1"/>
    </xf>
    <xf numFmtId="164" fontId="1" fillId="5" borderId="3" xfId="3" applyNumberFormat="1" applyFont="1" applyFill="1" applyBorder="1" applyAlignment="1" applyProtection="1">
      <alignment horizontal="right"/>
      <protection hidden="1"/>
    </xf>
    <xf numFmtId="164" fontId="1" fillId="5" borderId="7" xfId="3" applyNumberFormat="1" applyFont="1" applyFill="1" applyBorder="1" applyAlignment="1" applyProtection="1">
      <alignment horizontal="right"/>
      <protection hidden="1"/>
    </xf>
    <xf numFmtId="173" fontId="1" fillId="0" borderId="0" xfId="0" applyNumberFormat="1" applyFont="1" applyAlignment="1" applyProtection="1">
      <alignment horizontal="center"/>
      <protection hidden="1"/>
    </xf>
    <xf numFmtId="10" fontId="1" fillId="0" borderId="11" xfId="0" applyNumberFormat="1" applyFont="1" applyBorder="1" applyProtection="1">
      <protection hidden="1"/>
    </xf>
    <xf numFmtId="0" fontId="1" fillId="0" borderId="1" xfId="0" applyFont="1" applyBorder="1" applyProtection="1">
      <protection hidden="1"/>
    </xf>
    <xf numFmtId="10" fontId="1" fillId="5" borderId="3" xfId="0" applyNumberFormat="1" applyFont="1" applyFill="1" applyBorder="1" applyAlignment="1" applyProtection="1">
      <alignment horizontal="center"/>
      <protection hidden="1"/>
    </xf>
    <xf numFmtId="10" fontId="1" fillId="0" borderId="3" xfId="0" applyNumberFormat="1" applyFont="1" applyBorder="1" applyAlignment="1" applyProtection="1">
      <alignment horizontal="center"/>
      <protection hidden="1"/>
    </xf>
    <xf numFmtId="10" fontId="1" fillId="0" borderId="7" xfId="0" applyNumberFormat="1" applyFont="1" applyBorder="1" applyAlignment="1" applyProtection="1">
      <alignment horizontal="center"/>
      <protection hidden="1"/>
    </xf>
    <xf numFmtId="171" fontId="1" fillId="3" borderId="7" xfId="3" applyNumberFormat="1" applyFont="1" applyFill="1" applyBorder="1" applyProtection="1">
      <protection hidden="1"/>
    </xf>
    <xf numFmtId="0" fontId="1" fillId="3" borderId="11" xfId="0" applyFont="1" applyFill="1" applyBorder="1" applyAlignment="1" applyProtection="1">
      <alignment horizontal="center"/>
      <protection hidden="1"/>
    </xf>
    <xf numFmtId="164" fontId="1" fillId="4" borderId="7" xfId="3" applyNumberFormat="1" applyFont="1" applyFill="1" applyBorder="1" applyAlignment="1" applyProtection="1">
      <alignment horizontal="center"/>
      <protection hidden="1"/>
    </xf>
    <xf numFmtId="0" fontId="3" fillId="2" borderId="2" xfId="0" applyFont="1" applyFill="1" applyBorder="1" applyProtection="1">
      <protection hidden="1"/>
    </xf>
    <xf numFmtId="10" fontId="3" fillId="2" borderId="2" xfId="9" applyNumberFormat="1" applyFont="1" applyFill="1" applyBorder="1" applyProtection="1">
      <protection hidden="1"/>
    </xf>
    <xf numFmtId="164" fontId="1" fillId="4" borderId="0" xfId="3" applyNumberFormat="1" applyFont="1" applyFill="1" applyBorder="1" applyAlignment="1" applyProtection="1">
      <alignment horizontal="center"/>
      <protection hidden="1"/>
    </xf>
    <xf numFmtId="164" fontId="1" fillId="4" borderId="9" xfId="3" applyNumberFormat="1" applyFont="1" applyFill="1" applyBorder="1" applyAlignment="1" applyProtection="1">
      <alignment horizontal="center"/>
      <protection hidden="1"/>
    </xf>
    <xf numFmtId="164" fontId="1" fillId="4" borderId="1" xfId="3" applyNumberFormat="1" applyFont="1" applyFill="1" applyBorder="1" applyAlignment="1" applyProtection="1">
      <alignment horizontal="center"/>
      <protection hidden="1"/>
    </xf>
    <xf numFmtId="164" fontId="1" fillId="4" borderId="3" xfId="3" applyNumberFormat="1" applyFont="1" applyFill="1" applyBorder="1" applyAlignment="1" applyProtection="1">
      <alignment horizontal="center"/>
      <protection hidden="1"/>
    </xf>
    <xf numFmtId="10" fontId="1" fillId="5" borderId="7" xfId="0" applyNumberFormat="1" applyFont="1" applyFill="1" applyBorder="1" applyAlignment="1" applyProtection="1">
      <alignment horizontal="center"/>
      <protection hidden="1"/>
    </xf>
    <xf numFmtId="10" fontId="3" fillId="3" borderId="0" xfId="9" applyNumberFormat="1" applyFont="1" applyFill="1" applyBorder="1" applyProtection="1">
      <protection locked="0" hidden="1"/>
    </xf>
    <xf numFmtId="164" fontId="1" fillId="5" borderId="0" xfId="3" applyNumberFormat="1" applyFont="1" applyFill="1" applyBorder="1" applyAlignment="1" applyProtection="1">
      <protection hidden="1"/>
    </xf>
    <xf numFmtId="164" fontId="1" fillId="5" borderId="9" xfId="3" applyNumberFormat="1" applyFont="1" applyFill="1" applyBorder="1" applyAlignment="1" applyProtection="1">
      <protection hidden="1"/>
    </xf>
    <xf numFmtId="170" fontId="1" fillId="2" borderId="0" xfId="3" applyFont="1" applyFill="1" applyProtection="1">
      <protection hidden="1"/>
    </xf>
    <xf numFmtId="170" fontId="3" fillId="2" borderId="0" xfId="3" applyFont="1" applyFill="1" applyBorder="1" applyProtection="1">
      <protection hidden="1"/>
    </xf>
    <xf numFmtId="0" fontId="3" fillId="2" borderId="14" xfId="0" applyFont="1" applyFill="1" applyBorder="1" applyProtection="1">
      <protection hidden="1"/>
    </xf>
    <xf numFmtId="0" fontId="6" fillId="2" borderId="0" xfId="0" applyFont="1" applyFill="1" applyProtection="1">
      <protection hidden="1"/>
    </xf>
    <xf numFmtId="0" fontId="10" fillId="6" borderId="0" xfId="0" applyFont="1" applyFill="1" applyAlignment="1" applyProtection="1">
      <alignment horizontal="center" vertical="center"/>
      <protection hidden="1"/>
    </xf>
    <xf numFmtId="10" fontId="1" fillId="0" borderId="4" xfId="0" applyNumberFormat="1" applyFont="1" applyBorder="1" applyProtection="1">
      <protection hidden="1"/>
    </xf>
    <xf numFmtId="0" fontId="1" fillId="0" borderId="4" xfId="0" applyFont="1" applyBorder="1" applyProtection="1">
      <protection hidden="1"/>
    </xf>
    <xf numFmtId="164" fontId="1" fillId="0" borderId="4" xfId="0" applyNumberFormat="1" applyFont="1" applyBorder="1" applyProtection="1">
      <protection hidden="1"/>
    </xf>
    <xf numFmtId="173" fontId="1" fillId="5" borderId="6" xfId="0" applyNumberFormat="1" applyFont="1" applyFill="1" applyBorder="1" applyAlignment="1" applyProtection="1">
      <alignment horizontal="center"/>
      <protection hidden="1"/>
    </xf>
    <xf numFmtId="10" fontId="1" fillId="5" borderId="6" xfId="0" applyNumberFormat="1" applyFont="1" applyFill="1" applyBorder="1" applyAlignment="1" applyProtection="1">
      <alignment horizontal="center"/>
      <protection hidden="1"/>
    </xf>
    <xf numFmtId="164" fontId="1" fillId="5" borderId="6" xfId="3" applyNumberFormat="1" applyFont="1" applyFill="1" applyBorder="1" applyAlignment="1" applyProtection="1">
      <protection hidden="1"/>
    </xf>
    <xf numFmtId="164" fontId="1" fillId="5" borderId="6" xfId="0" applyNumberFormat="1" applyFont="1" applyFill="1" applyBorder="1" applyProtection="1">
      <protection hidden="1"/>
    </xf>
    <xf numFmtId="10" fontId="1" fillId="0" borderId="6" xfId="0" applyNumberFormat="1" applyFont="1" applyBorder="1" applyAlignment="1" applyProtection="1">
      <alignment horizontal="center"/>
      <protection hidden="1"/>
    </xf>
    <xf numFmtId="164" fontId="1" fillId="0" borderId="6" xfId="0" applyNumberFormat="1" applyFont="1" applyBorder="1" applyProtection="1">
      <protection hidden="1"/>
    </xf>
    <xf numFmtId="173" fontId="1" fillId="0" borderId="8" xfId="0" applyNumberFormat="1" applyFont="1" applyBorder="1" applyAlignment="1" applyProtection="1">
      <alignment horizontal="center"/>
      <protection hidden="1"/>
    </xf>
    <xf numFmtId="173" fontId="1" fillId="4" borderId="8" xfId="0" applyNumberFormat="1" applyFont="1" applyFill="1" applyBorder="1" applyAlignment="1" applyProtection="1">
      <alignment horizontal="center"/>
      <protection locked="0" hidden="1"/>
    </xf>
    <xf numFmtId="0" fontId="3" fillId="3" borderId="14" xfId="0" applyFont="1" applyFill="1" applyBorder="1" applyAlignment="1" applyProtection="1">
      <alignment horizontal="center"/>
      <protection hidden="1"/>
    </xf>
    <xf numFmtId="0" fontId="3" fillId="3" borderId="13" xfId="0" applyFont="1" applyFill="1" applyBorder="1" applyAlignment="1" applyProtection="1">
      <alignment horizontal="center"/>
      <protection hidden="1"/>
    </xf>
    <xf numFmtId="0" fontId="3" fillId="3" borderId="18" xfId="0" applyFont="1" applyFill="1" applyBorder="1" applyAlignment="1" applyProtection="1">
      <alignment horizontal="center"/>
      <protection hidden="1"/>
    </xf>
    <xf numFmtId="0" fontId="8" fillId="2" borderId="14" xfId="0" applyFont="1" applyFill="1" applyBorder="1" applyAlignment="1" applyProtection="1">
      <alignment horizontal="center"/>
      <protection hidden="1"/>
    </xf>
    <xf numFmtId="0" fontId="8" fillId="2" borderId="13" xfId="0" applyFont="1" applyFill="1" applyBorder="1" applyAlignment="1" applyProtection="1">
      <alignment horizontal="center"/>
      <protection hidden="1"/>
    </xf>
    <xf numFmtId="0" fontId="8" fillId="2" borderId="5" xfId="0" applyFont="1" applyFill="1" applyBorder="1" applyAlignment="1" applyProtection="1">
      <alignment horizontal="center"/>
      <protection hidden="1"/>
    </xf>
    <xf numFmtId="14" fontId="1" fillId="6" borderId="0" xfId="0" applyNumberFormat="1" applyFont="1" applyFill="1" applyAlignment="1" applyProtection="1">
      <alignment horizontal="left"/>
      <protection hidden="1"/>
    </xf>
    <xf numFmtId="0" fontId="11" fillId="5" borderId="2" xfId="1" applyFont="1" applyFill="1" applyBorder="1" applyAlignment="1" applyProtection="1">
      <alignment horizontal="left" vertical="center" wrapText="1"/>
      <protection hidden="1"/>
    </xf>
    <xf numFmtId="0" fontId="3" fillId="6" borderId="2" xfId="0" applyFont="1" applyFill="1" applyBorder="1" applyAlignment="1" applyProtection="1">
      <alignment horizontal="left" wrapText="1"/>
      <protection hidden="1"/>
    </xf>
    <xf numFmtId="14" fontId="1" fillId="6" borderId="11" xfId="0" applyNumberFormat="1" applyFont="1" applyFill="1" applyBorder="1" applyAlignment="1" applyProtection="1">
      <alignment horizontal="left"/>
      <protection hidden="1"/>
    </xf>
    <xf numFmtId="0" fontId="8" fillId="2" borderId="2" xfId="0" applyFont="1" applyFill="1" applyBorder="1" applyAlignment="1" applyProtection="1">
      <alignment horizontal="center"/>
      <protection hidden="1"/>
    </xf>
    <xf numFmtId="0" fontId="1" fillId="2" borderId="0" xfId="0" applyFont="1" applyFill="1" applyBorder="1" applyProtection="1">
      <protection hidden="1"/>
    </xf>
    <xf numFmtId="0" fontId="5" fillId="2" borderId="0" xfId="0"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5" fillId="2" borderId="0" xfId="0" applyFont="1" applyFill="1" applyBorder="1" applyProtection="1">
      <protection hidden="1"/>
    </xf>
    <xf numFmtId="0" fontId="10" fillId="2" borderId="0" xfId="0" applyFont="1" applyFill="1" applyBorder="1" applyProtection="1">
      <protection hidden="1"/>
    </xf>
    <xf numFmtId="0" fontId="3" fillId="6" borderId="2" xfId="0" applyFont="1" applyFill="1" applyBorder="1" applyAlignment="1" applyProtection="1">
      <alignment horizontal="center" vertical="center"/>
      <protection hidden="1"/>
    </xf>
    <xf numFmtId="0" fontId="3" fillId="6" borderId="2" xfId="0" applyFont="1" applyFill="1" applyBorder="1" applyAlignment="1" applyProtection="1">
      <alignment horizontal="center" vertical="center" wrapText="1"/>
      <protection hidden="1"/>
    </xf>
    <xf numFmtId="14" fontId="1" fillId="6" borderId="2" xfId="0" applyNumberFormat="1" applyFont="1" applyFill="1" applyBorder="1" applyProtection="1">
      <protection hidden="1"/>
    </xf>
    <xf numFmtId="10" fontId="1" fillId="5" borderId="2" xfId="0" applyNumberFormat="1" applyFont="1" applyFill="1" applyBorder="1" applyAlignment="1" applyProtection="1">
      <alignment horizontal="center"/>
      <protection hidden="1"/>
    </xf>
    <xf numFmtId="10" fontId="3" fillId="6" borderId="2" xfId="9" applyNumberFormat="1" applyFont="1" applyFill="1" applyBorder="1" applyAlignment="1" applyProtection="1">
      <alignment horizontal="center"/>
      <protection hidden="1"/>
    </xf>
    <xf numFmtId="164" fontId="3" fillId="5" borderId="2" xfId="3" applyNumberFormat="1" applyFont="1" applyFill="1" applyBorder="1" applyAlignment="1" applyProtection="1">
      <protection hidden="1"/>
    </xf>
    <xf numFmtId="164" fontId="1" fillId="5" borderId="2" xfId="0" applyNumberFormat="1" applyFont="1" applyFill="1" applyBorder="1" applyProtection="1">
      <protection hidden="1"/>
    </xf>
    <xf numFmtId="14" fontId="3" fillId="0" borderId="1" xfId="0" applyNumberFormat="1" applyFont="1" applyBorder="1" applyAlignment="1" applyProtection="1">
      <alignment horizontal="center"/>
      <protection hidden="1"/>
    </xf>
    <xf numFmtId="14" fontId="3" fillId="0" borderId="3" xfId="0" applyNumberFormat="1" applyFont="1" applyBorder="1" applyAlignment="1" applyProtection="1">
      <alignment horizontal="center"/>
      <protection hidden="1"/>
    </xf>
    <xf numFmtId="14" fontId="3" fillId="0" borderId="7" xfId="0" applyNumberFormat="1" applyFont="1" applyBorder="1" applyAlignment="1" applyProtection="1">
      <alignment horizontal="center"/>
      <protection hidden="1"/>
    </xf>
    <xf numFmtId="0" fontId="3" fillId="6" borderId="10" xfId="0" applyFont="1" applyFill="1" applyBorder="1" applyAlignment="1" applyProtection="1">
      <alignment horizontal="center" vertical="center" wrapText="1"/>
      <protection hidden="1"/>
    </xf>
    <xf numFmtId="0" fontId="3" fillId="6" borderId="4" xfId="0" applyFont="1" applyFill="1" applyBorder="1" applyAlignment="1" applyProtection="1">
      <alignment horizontal="center" vertical="center" wrapText="1"/>
      <protection hidden="1"/>
    </xf>
    <xf numFmtId="14" fontId="1" fillId="6" borderId="12" xfId="0" applyNumberFormat="1" applyFont="1" applyFill="1" applyBorder="1" applyAlignment="1" applyProtection="1">
      <alignment horizontal="center"/>
      <protection hidden="1"/>
    </xf>
    <xf numFmtId="14" fontId="1" fillId="6" borderId="8" xfId="0" applyNumberFormat="1" applyFont="1" applyFill="1" applyBorder="1" applyAlignment="1" applyProtection="1">
      <alignment horizontal="center"/>
      <protection hidden="1"/>
    </xf>
    <xf numFmtId="0" fontId="7" fillId="6" borderId="0" xfId="0" applyFont="1" applyFill="1" applyAlignment="1" applyProtection="1">
      <alignment horizontal="center"/>
      <protection hidden="1"/>
    </xf>
    <xf numFmtId="0" fontId="4" fillId="6" borderId="0" xfId="0" applyFont="1" applyFill="1" applyProtection="1">
      <protection hidden="1"/>
    </xf>
    <xf numFmtId="0" fontId="7" fillId="6" borderId="0" xfId="0" applyFont="1" applyFill="1" applyAlignment="1" applyProtection="1">
      <alignment horizontal="center"/>
      <protection hidden="1"/>
    </xf>
    <xf numFmtId="16" fontId="4" fillId="6" borderId="0" xfId="0" applyNumberFormat="1" applyFont="1" applyFill="1" applyProtection="1">
      <protection hidden="1"/>
    </xf>
    <xf numFmtId="170" fontId="4" fillId="6" borderId="0" xfId="3" applyFont="1" applyFill="1" applyProtection="1">
      <protection hidden="1"/>
    </xf>
    <xf numFmtId="0" fontId="1" fillId="5" borderId="0" xfId="0" applyFont="1" applyFill="1" applyProtection="1">
      <protection hidden="1"/>
    </xf>
    <xf numFmtId="173" fontId="15" fillId="5" borderId="0" xfId="9" applyNumberFormat="1" applyFont="1" applyFill="1" applyBorder="1" applyProtection="1">
      <protection hidden="1"/>
    </xf>
    <xf numFmtId="0" fontId="9" fillId="6" borderId="0" xfId="0" applyFont="1" applyFill="1" applyProtection="1">
      <protection hidden="1"/>
    </xf>
    <xf numFmtId="0" fontId="15" fillId="5" borderId="0" xfId="0" applyFont="1" applyFill="1" applyProtection="1">
      <protection hidden="1"/>
    </xf>
    <xf numFmtId="167" fontId="3" fillId="6" borderId="2" xfId="3" applyNumberFormat="1" applyFont="1" applyFill="1" applyBorder="1" applyAlignment="1" applyProtection="1">
      <protection hidden="1"/>
    </xf>
    <xf numFmtId="0" fontId="3" fillId="6" borderId="14" xfId="0" applyFont="1" applyFill="1" applyBorder="1" applyAlignment="1" applyProtection="1">
      <alignment horizontal="center"/>
      <protection hidden="1"/>
    </xf>
    <xf numFmtId="0" fontId="3" fillId="6" borderId="13" xfId="0" applyFont="1" applyFill="1" applyBorder="1" applyAlignment="1" applyProtection="1">
      <alignment horizontal="center"/>
      <protection hidden="1"/>
    </xf>
    <xf numFmtId="0" fontId="3" fillId="6" borderId="18" xfId="0" applyFont="1" applyFill="1" applyBorder="1" applyAlignment="1" applyProtection="1">
      <alignment horizontal="center"/>
      <protection hidden="1"/>
    </xf>
    <xf numFmtId="0" fontId="3" fillId="6" borderId="1" xfId="0" applyFont="1" applyFill="1" applyBorder="1" applyAlignment="1" applyProtection="1">
      <alignment horizontal="center" vertical="center" wrapText="1"/>
      <protection hidden="1"/>
    </xf>
    <xf numFmtId="0" fontId="3" fillId="6" borderId="3" xfId="0" applyFont="1" applyFill="1" applyBorder="1" applyAlignment="1" applyProtection="1">
      <alignment horizontal="center" vertical="center" wrapText="1"/>
      <protection hidden="1"/>
    </xf>
    <xf numFmtId="14" fontId="1" fillId="5" borderId="1" xfId="0" applyNumberFormat="1" applyFont="1" applyFill="1" applyBorder="1" applyAlignment="1" applyProtection="1">
      <alignment horizontal="center"/>
      <protection hidden="1"/>
    </xf>
    <xf numFmtId="0" fontId="1" fillId="6" borderId="1" xfId="0" applyFont="1" applyFill="1" applyBorder="1" applyAlignment="1" applyProtection="1">
      <alignment horizontal="center"/>
      <protection hidden="1"/>
    </xf>
    <xf numFmtId="14" fontId="1" fillId="6" borderId="4" xfId="0" applyNumberFormat="1" applyFont="1" applyFill="1" applyBorder="1" applyProtection="1">
      <protection hidden="1"/>
    </xf>
    <xf numFmtId="14" fontId="1" fillId="5" borderId="4" xfId="0" applyNumberFormat="1" applyFont="1" applyFill="1" applyBorder="1" applyAlignment="1" applyProtection="1">
      <alignment horizontal="center"/>
      <protection hidden="1"/>
    </xf>
    <xf numFmtId="164" fontId="1" fillId="5" borderId="4" xfId="3" applyNumberFormat="1" applyFont="1" applyFill="1" applyBorder="1" applyAlignment="1" applyProtection="1">
      <alignment horizontal="center"/>
      <protection hidden="1"/>
    </xf>
    <xf numFmtId="2" fontId="1" fillId="5" borderId="5" xfId="3" applyNumberFormat="1" applyFont="1" applyFill="1" applyBorder="1" applyAlignment="1" applyProtection="1">
      <alignment horizontal="center"/>
      <protection hidden="1"/>
    </xf>
    <xf numFmtId="14" fontId="1" fillId="5" borderId="3" xfId="0" applyNumberFormat="1" applyFont="1" applyFill="1" applyBorder="1" applyAlignment="1" applyProtection="1">
      <alignment horizontal="center"/>
      <protection hidden="1"/>
    </xf>
    <xf numFmtId="171" fontId="1" fillId="6" borderId="3" xfId="3" applyNumberFormat="1" applyFont="1" applyFill="1" applyBorder="1" applyProtection="1">
      <protection hidden="1"/>
    </xf>
    <xf numFmtId="0" fontId="1" fillId="6" borderId="6" xfId="0" applyFont="1" applyFill="1" applyBorder="1" applyAlignment="1" applyProtection="1">
      <alignment horizontal="center"/>
      <protection hidden="1"/>
    </xf>
    <xf numFmtId="164" fontId="1" fillId="5" borderId="6" xfId="3" applyNumberFormat="1" applyFont="1" applyFill="1" applyBorder="1" applyAlignment="1" applyProtection="1">
      <alignment horizontal="center"/>
      <protection hidden="1"/>
    </xf>
    <xf numFmtId="164" fontId="1" fillId="5" borderId="0" xfId="3" applyNumberFormat="1" applyFont="1" applyFill="1" applyBorder="1" applyAlignment="1" applyProtection="1">
      <alignment horizontal="center"/>
      <protection hidden="1"/>
    </xf>
    <xf numFmtId="164" fontId="1" fillId="5" borderId="1" xfId="3" applyNumberFormat="1" applyFont="1" applyFill="1" applyBorder="1" applyAlignment="1" applyProtection="1">
      <alignment horizontal="center"/>
      <protection hidden="1"/>
    </xf>
    <xf numFmtId="2" fontId="1" fillId="5" borderId="6" xfId="3" applyNumberFormat="1" applyFont="1" applyFill="1" applyBorder="1" applyAlignment="1" applyProtection="1">
      <alignment horizontal="center"/>
      <protection hidden="1"/>
    </xf>
    <xf numFmtId="164" fontId="1" fillId="5" borderId="3" xfId="3" applyNumberFormat="1" applyFont="1" applyFill="1" applyBorder="1" applyAlignment="1" applyProtection="1">
      <alignment horizontal="center"/>
      <protection hidden="1"/>
    </xf>
    <xf numFmtId="14" fontId="1" fillId="5" borderId="7" xfId="0" applyNumberFormat="1" applyFont="1" applyFill="1" applyBorder="1" applyAlignment="1" applyProtection="1">
      <alignment horizontal="center"/>
      <protection hidden="1"/>
    </xf>
    <xf numFmtId="171" fontId="1" fillId="6" borderId="7" xfId="3" applyNumberFormat="1" applyFont="1" applyFill="1" applyBorder="1" applyProtection="1">
      <protection hidden="1"/>
    </xf>
    <xf numFmtId="0" fontId="1" fillId="6" borderId="7" xfId="0" applyFont="1" applyFill="1" applyBorder="1" applyAlignment="1" applyProtection="1">
      <alignment horizontal="center"/>
      <protection hidden="1"/>
    </xf>
    <xf numFmtId="164" fontId="1" fillId="5" borderId="7" xfId="3" applyNumberFormat="1" applyFont="1" applyFill="1" applyBorder="1" applyAlignment="1" applyProtection="1">
      <alignment horizontal="center"/>
      <protection hidden="1"/>
    </xf>
    <xf numFmtId="164" fontId="1" fillId="5" borderId="8" xfId="3" applyNumberFormat="1" applyFont="1" applyFill="1" applyBorder="1" applyAlignment="1" applyProtection="1">
      <alignment horizontal="center"/>
      <protection hidden="1"/>
    </xf>
    <xf numFmtId="164" fontId="1" fillId="5" borderId="9" xfId="3" applyNumberFormat="1" applyFont="1" applyFill="1" applyBorder="1" applyAlignment="1" applyProtection="1">
      <alignment horizontal="center"/>
      <protection hidden="1"/>
    </xf>
    <xf numFmtId="2" fontId="1" fillId="5" borderId="8" xfId="3" applyNumberFormat="1" applyFont="1" applyFill="1" applyBorder="1" applyAlignment="1" applyProtection="1">
      <alignment horizontal="center"/>
      <protection hidden="1"/>
    </xf>
    <xf numFmtId="170" fontId="1" fillId="6" borderId="0" xfId="3" applyFont="1" applyFill="1" applyBorder="1" applyProtection="1">
      <protection hidden="1"/>
    </xf>
    <xf numFmtId="170" fontId="1" fillId="6" borderId="0" xfId="3" applyFont="1" applyFill="1" applyProtection="1">
      <protection hidden="1"/>
    </xf>
    <xf numFmtId="14" fontId="4" fillId="6" borderId="0" xfId="0" applyNumberFormat="1" applyFont="1" applyFill="1" applyProtection="1">
      <protection hidden="1"/>
    </xf>
    <xf numFmtId="171" fontId="4" fillId="6" borderId="0" xfId="3" applyNumberFormat="1" applyFont="1" applyFill="1" applyProtection="1">
      <protection hidden="1"/>
    </xf>
    <xf numFmtId="171" fontId="4" fillId="6" borderId="0" xfId="0" applyNumberFormat="1" applyFont="1" applyFill="1" applyProtection="1">
      <protection hidden="1"/>
    </xf>
    <xf numFmtId="164" fontId="1" fillId="5" borderId="10" xfId="3" applyNumberFormat="1" applyFont="1" applyFill="1" applyBorder="1" applyAlignment="1" applyProtection="1">
      <alignment horizontal="center"/>
      <protection hidden="1"/>
    </xf>
    <xf numFmtId="2" fontId="1" fillId="5" borderId="1" xfId="3" applyNumberFormat="1" applyFont="1" applyFill="1" applyBorder="1" applyAlignment="1" applyProtection="1">
      <alignment horizontal="center"/>
      <protection hidden="1"/>
    </xf>
    <xf numFmtId="164" fontId="1" fillId="5" borderId="15" xfId="3" applyNumberFormat="1" applyFont="1" applyFill="1" applyBorder="1" applyAlignment="1" applyProtection="1">
      <alignment horizontal="center"/>
      <protection hidden="1"/>
    </xf>
    <xf numFmtId="2" fontId="1" fillId="5" borderId="3" xfId="3" applyNumberFormat="1" applyFont="1" applyFill="1" applyBorder="1" applyAlignment="1" applyProtection="1">
      <alignment horizontal="center"/>
      <protection hidden="1"/>
    </xf>
    <xf numFmtId="164" fontId="1" fillId="5" borderId="12" xfId="3" applyNumberFormat="1" applyFont="1" applyFill="1" applyBorder="1" applyAlignment="1" applyProtection="1">
      <alignment horizontal="center"/>
      <protection hidden="1"/>
    </xf>
    <xf numFmtId="2" fontId="1" fillId="5" borderId="7" xfId="3" applyNumberFormat="1" applyFont="1" applyFill="1" applyBorder="1" applyAlignment="1" applyProtection="1">
      <alignment horizontal="center"/>
      <protection hidden="1"/>
    </xf>
    <xf numFmtId="0" fontId="19" fillId="0" borderId="2" xfId="0" applyFont="1" applyBorder="1" applyAlignment="1" applyProtection="1">
      <alignment horizontal="left" vertical="center" wrapText="1"/>
      <protection hidden="1"/>
    </xf>
    <xf numFmtId="14" fontId="3" fillId="0" borderId="10" xfId="0" applyNumberFormat="1" applyFont="1" applyBorder="1" applyAlignment="1" applyProtection="1">
      <alignment horizontal="center"/>
      <protection hidden="1"/>
    </xf>
    <xf numFmtId="14" fontId="3" fillId="0" borderId="10" xfId="0" applyNumberFormat="1" applyFont="1" applyBorder="1" applyAlignment="1" applyProtection="1">
      <alignment horizontal="center"/>
      <protection hidden="1"/>
    </xf>
    <xf numFmtId="14" fontId="3" fillId="0" borderId="4" xfId="0" applyNumberFormat="1" applyFont="1" applyBorder="1" applyAlignment="1" applyProtection="1">
      <alignment horizontal="center"/>
      <protection hidden="1"/>
    </xf>
    <xf numFmtId="14" fontId="3" fillId="0" borderId="15" xfId="0" applyNumberFormat="1" applyFont="1" applyBorder="1" applyAlignment="1" applyProtection="1">
      <alignment horizontal="center"/>
      <protection hidden="1"/>
    </xf>
    <xf numFmtId="10" fontId="3" fillId="0" borderId="15" xfId="0" applyNumberFormat="1" applyFont="1" applyBorder="1" applyAlignment="1" applyProtection="1">
      <alignment horizontal="center"/>
      <protection hidden="1"/>
    </xf>
    <xf numFmtId="14" fontId="3" fillId="0" borderId="6" xfId="0" applyNumberFormat="1" applyFont="1" applyBorder="1" applyAlignment="1" applyProtection="1">
      <alignment horizontal="center"/>
      <protection hidden="1"/>
    </xf>
    <xf numFmtId="14" fontId="3" fillId="0" borderId="12" xfId="0" applyNumberFormat="1" applyFont="1" applyBorder="1" applyAlignment="1" applyProtection="1">
      <alignment horizontal="center"/>
      <protection hidden="1"/>
    </xf>
    <xf numFmtId="14" fontId="3" fillId="0" borderId="4" xfId="0" applyNumberFormat="1" applyFont="1" applyBorder="1" applyAlignment="1" applyProtection="1">
      <alignment horizontal="center"/>
      <protection hidden="1"/>
    </xf>
    <xf numFmtId="14" fontId="1" fillId="6" borderId="7" xfId="0" applyNumberFormat="1" applyFont="1" applyFill="1" applyBorder="1" applyProtection="1">
      <protection hidden="1"/>
    </xf>
    <xf numFmtId="10" fontId="3" fillId="6" borderId="7" xfId="9" applyNumberFormat="1" applyFont="1" applyFill="1" applyBorder="1" applyAlignment="1" applyProtection="1">
      <alignment horizontal="center"/>
      <protection hidden="1"/>
    </xf>
    <xf numFmtId="164" fontId="3" fillId="5" borderId="2" xfId="3" applyNumberFormat="1" applyFont="1" applyFill="1" applyBorder="1" applyAlignment="1" applyProtection="1">
      <alignment horizontal="right"/>
      <protection hidden="1"/>
    </xf>
    <xf numFmtId="164" fontId="3" fillId="5" borderId="7" xfId="3" applyNumberFormat="1" applyFont="1" applyFill="1" applyBorder="1" applyAlignment="1" applyProtection="1">
      <alignment horizontal="right"/>
      <protection hidden="1"/>
    </xf>
    <xf numFmtId="164" fontId="1" fillId="5" borderId="2" xfId="0" applyNumberFormat="1" applyFont="1" applyFill="1" applyBorder="1" applyAlignment="1" applyProtection="1">
      <alignment horizontal="right"/>
      <protection hidden="1"/>
    </xf>
    <xf numFmtId="14" fontId="1" fillId="6" borderId="14" xfId="0" applyNumberFormat="1" applyFont="1" applyFill="1" applyBorder="1" applyAlignment="1" applyProtection="1">
      <alignment horizontal="center"/>
      <protection hidden="1"/>
    </xf>
    <xf numFmtId="14" fontId="1" fillId="6" borderId="5" xfId="0" applyNumberFormat="1" applyFont="1" applyFill="1" applyBorder="1" applyAlignment="1" applyProtection="1">
      <alignment horizontal="center"/>
      <protection hidden="1"/>
    </xf>
  </cellXfs>
  <cellStyles count="10">
    <cellStyle name="=C:\WINNT\SYSTEM32\COMMAND.COM" xfId="1"/>
    <cellStyle name="Euro" xfId="2"/>
    <cellStyle name="Millares" xfId="3" builtinId="3"/>
    <cellStyle name="Millares 2" xfId="4"/>
    <cellStyle name="Millares 3" xfId="5"/>
    <cellStyle name="Moneda 2" xfId="6"/>
    <cellStyle name="Normal" xfId="0" builtinId="0"/>
    <cellStyle name="Normal 2" xfId="7"/>
    <cellStyle name="Normal 3" xfId="8"/>
    <cellStyle name="Porcentaje" xfId="9" builtinId="5"/>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1059126</xdr:colOff>
      <xdr:row>1</xdr:row>
      <xdr:rowOff>343692</xdr:rowOff>
    </xdr:from>
    <xdr:to>
      <xdr:col>4</xdr:col>
      <xdr:colOff>40176</xdr:colOff>
      <xdr:row>3</xdr:row>
      <xdr:rowOff>162717</xdr:rowOff>
    </xdr:to>
    <xdr:pic>
      <xdr:nvPicPr>
        <xdr:cNvPr id="1035" name="LOGO.PNG">
          <a:extLst>
            <a:ext uri="{FF2B5EF4-FFF2-40B4-BE49-F238E27FC236}">
              <a16:creationId xmlns:a16="http://schemas.microsoft.com/office/drawing/2014/main" id="{46E32BEB-B2F8-4E8E-8BF6-5DE292F3A9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4626" y="502442"/>
          <a:ext cx="1827967"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345282</xdr:colOff>
      <xdr:row>1</xdr:row>
      <xdr:rowOff>238123</xdr:rowOff>
    </xdr:from>
    <xdr:to>
      <xdr:col>5</xdr:col>
      <xdr:colOff>726281</xdr:colOff>
      <xdr:row>3</xdr:row>
      <xdr:rowOff>202404</xdr:rowOff>
    </xdr:to>
    <xdr:pic>
      <xdr:nvPicPr>
        <xdr:cNvPr id="2" name="Imagen 1"/>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6870" t="23747" r="36883" b="20011"/>
        <a:stretch/>
      </xdr:blipFill>
      <xdr:spPr>
        <a:xfrm>
          <a:off x="4024313" y="404811"/>
          <a:ext cx="1500187" cy="5357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1061507</xdr:colOff>
      <xdr:row>1</xdr:row>
      <xdr:rowOff>339462</xdr:rowOff>
    </xdr:from>
    <xdr:to>
      <xdr:col>4</xdr:col>
      <xdr:colOff>70074</xdr:colOff>
      <xdr:row>3</xdr:row>
      <xdr:rowOff>158487</xdr:rowOff>
    </xdr:to>
    <xdr:pic>
      <xdr:nvPicPr>
        <xdr:cNvPr id="5" name="LOGO.PNG">
          <a:extLst>
            <a:ext uri="{FF2B5EF4-FFF2-40B4-BE49-F238E27FC236}">
              <a16:creationId xmlns:a16="http://schemas.microsoft.com/office/drawing/2014/main" id="{46E32BEB-B2F8-4E8E-8BF6-5DE292F3A9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7007" y="498212"/>
          <a:ext cx="182373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375180</xdr:colOff>
      <xdr:row>1</xdr:row>
      <xdr:rowOff>233893</xdr:rowOff>
    </xdr:from>
    <xdr:to>
      <xdr:col>5</xdr:col>
      <xdr:colOff>754062</xdr:colOff>
      <xdr:row>3</xdr:row>
      <xdr:rowOff>201349</xdr:rowOff>
    </xdr:to>
    <xdr:pic>
      <xdr:nvPicPr>
        <xdr:cNvPr id="6" name="Imagen 5"/>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6870" t="23747" r="36883" b="20011"/>
        <a:stretch/>
      </xdr:blipFill>
      <xdr:spPr>
        <a:xfrm>
          <a:off x="4015847" y="392643"/>
          <a:ext cx="1500715" cy="5389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66"/>
  <sheetViews>
    <sheetView showGridLines="0" tabSelected="1" zoomScale="90" zoomScaleNormal="90" workbookViewId="0">
      <selection activeCell="R16" sqref="R16"/>
    </sheetView>
  </sheetViews>
  <sheetFormatPr baseColWidth="10" defaultColWidth="11.42578125" defaultRowHeight="12.75" x14ac:dyDescent="0.2"/>
  <cols>
    <col min="1" max="1" width="12.42578125" style="5" customWidth="1"/>
    <col min="2" max="2" width="17.28515625" style="5" bestFit="1" customWidth="1"/>
    <col min="3" max="3" width="12.7109375" style="5" bestFit="1" customWidth="1"/>
    <col min="4" max="4" width="12.7109375" style="5" customWidth="1"/>
    <col min="5" max="5" width="16.85546875" style="5" customWidth="1"/>
    <col min="6" max="6" width="14.42578125" style="5" bestFit="1" customWidth="1"/>
    <col min="7" max="7" width="16.42578125" style="5" customWidth="1"/>
    <col min="8" max="8" width="17.42578125" style="5" bestFit="1" customWidth="1"/>
    <col min="9" max="9" width="1.140625" style="5" customWidth="1"/>
    <col min="10" max="10" width="10.85546875" style="151" hidden="1" customWidth="1"/>
    <col min="11" max="11" width="16.42578125" style="151" hidden="1" customWidth="1"/>
    <col min="12" max="12" width="18.42578125" style="151" hidden="1" customWidth="1"/>
    <col min="13" max="13" width="12.7109375" style="151" hidden="1" customWidth="1"/>
    <col min="14" max="14" width="18" style="151" hidden="1" customWidth="1"/>
    <col min="15" max="17" width="16.42578125" style="151" hidden="1" customWidth="1"/>
    <col min="18" max="16384" width="11.42578125" style="55"/>
  </cols>
  <sheetData>
    <row r="1" spans="1:17" x14ac:dyDescent="0.2">
      <c r="J1" s="150"/>
      <c r="K1" s="150"/>
      <c r="L1" s="150"/>
      <c r="M1" s="150"/>
    </row>
    <row r="2" spans="1:17" ht="45" customHeight="1" x14ac:dyDescent="0.2">
      <c r="A2" s="131"/>
      <c r="B2" s="131"/>
      <c r="C2" s="131"/>
      <c r="D2" s="131"/>
      <c r="E2" s="131"/>
      <c r="F2" s="131"/>
      <c r="G2" s="131"/>
      <c r="H2" s="131"/>
      <c r="J2" s="152"/>
      <c r="K2" s="152"/>
      <c r="L2" s="152"/>
      <c r="M2" s="152"/>
    </row>
    <row r="3" spans="1:17" ht="14.25" hidden="1" customHeight="1" x14ac:dyDescent="0.2">
      <c r="A3" s="131"/>
      <c r="B3" s="131"/>
      <c r="C3" s="131"/>
      <c r="D3" s="131"/>
      <c r="E3" s="131"/>
      <c r="F3" s="131"/>
      <c r="G3" s="131"/>
      <c r="H3" s="131"/>
      <c r="J3" s="152"/>
      <c r="K3" s="152"/>
      <c r="L3" s="152"/>
      <c r="M3" s="152"/>
    </row>
    <row r="4" spans="1:17" ht="17.25" customHeight="1" x14ac:dyDescent="0.25">
      <c r="A4" s="132"/>
      <c r="B4" s="132"/>
      <c r="C4" s="133"/>
      <c r="D4" s="133"/>
      <c r="E4" s="133"/>
      <c r="F4" s="133"/>
      <c r="G4" s="134"/>
      <c r="H4" s="135"/>
      <c r="J4" s="152"/>
      <c r="K4" s="152"/>
      <c r="L4" s="152"/>
      <c r="M4" s="152"/>
    </row>
    <row r="5" spans="1:17" ht="25.5" customHeight="1" x14ac:dyDescent="0.2">
      <c r="J5" s="152"/>
      <c r="K5" s="152"/>
      <c r="L5" s="152"/>
      <c r="M5" s="152"/>
    </row>
    <row r="6" spans="1:17" ht="23.25" x14ac:dyDescent="0.35">
      <c r="A6" s="123" t="s">
        <v>15</v>
      </c>
      <c r="B6" s="124"/>
      <c r="C6" s="124"/>
      <c r="D6" s="124"/>
      <c r="E6" s="124"/>
      <c r="F6" s="124"/>
      <c r="G6" s="124"/>
      <c r="H6" s="125"/>
      <c r="K6" s="153"/>
    </row>
    <row r="7" spans="1:17" ht="12.75" customHeight="1" x14ac:dyDescent="0.35">
      <c r="A7" s="52"/>
      <c r="B7" s="52"/>
      <c r="C7" s="52"/>
      <c r="D7" s="52"/>
      <c r="E7" s="52"/>
      <c r="F7" s="52"/>
      <c r="G7" s="52"/>
      <c r="H7" s="52"/>
      <c r="K7" s="153"/>
    </row>
    <row r="8" spans="1:17" ht="12.75" customHeight="1" x14ac:dyDescent="0.2">
      <c r="A8" s="127" t="s">
        <v>42</v>
      </c>
      <c r="B8" s="127"/>
      <c r="C8" s="127"/>
      <c r="D8" s="127"/>
      <c r="E8" s="127"/>
      <c r="F8" s="127"/>
      <c r="G8" s="127"/>
      <c r="H8" s="127"/>
      <c r="K8" s="153"/>
    </row>
    <row r="9" spans="1:17" ht="12.75" customHeight="1" x14ac:dyDescent="0.2">
      <c r="A9" s="127"/>
      <c r="B9" s="127"/>
      <c r="C9" s="127"/>
      <c r="D9" s="127"/>
      <c r="E9" s="127"/>
      <c r="F9" s="127"/>
      <c r="G9" s="127"/>
      <c r="H9" s="127"/>
      <c r="K9" s="153"/>
    </row>
    <row r="10" spans="1:17" ht="12.75" customHeight="1" x14ac:dyDescent="0.2">
      <c r="A10" s="127"/>
      <c r="B10" s="127"/>
      <c r="C10" s="127"/>
      <c r="D10" s="127"/>
      <c r="E10" s="127"/>
      <c r="F10" s="127"/>
      <c r="G10" s="127"/>
      <c r="H10" s="127"/>
      <c r="K10" s="153"/>
    </row>
    <row r="11" spans="1:17" ht="15" customHeight="1" x14ac:dyDescent="0.35">
      <c r="A11" s="53"/>
      <c r="B11" s="53"/>
      <c r="C11" s="53"/>
      <c r="D11" s="53"/>
      <c r="E11" s="52"/>
      <c r="F11" s="52"/>
      <c r="G11" s="52"/>
      <c r="H11" s="52"/>
      <c r="K11" s="153"/>
    </row>
    <row r="12" spans="1:17" x14ac:dyDescent="0.2">
      <c r="B12" s="54" t="s">
        <v>27</v>
      </c>
      <c r="C12" s="74">
        <v>45210000</v>
      </c>
      <c r="D12" s="55"/>
      <c r="E12" s="54" t="s">
        <v>28</v>
      </c>
      <c r="F12" s="101">
        <v>0.85250000000000004</v>
      </c>
      <c r="J12" s="55"/>
      <c r="K12" s="55"/>
      <c r="L12" s="55"/>
      <c r="M12" s="55"/>
      <c r="N12" s="55"/>
      <c r="O12" s="55"/>
      <c r="P12" s="55"/>
      <c r="Q12" s="55"/>
    </row>
    <row r="13" spans="1:17" x14ac:dyDescent="0.2">
      <c r="B13" s="128" t="s">
        <v>33</v>
      </c>
      <c r="C13" s="128"/>
      <c r="D13" s="55"/>
      <c r="E13" s="56" t="s">
        <v>29</v>
      </c>
      <c r="F13" s="57">
        <f>+O41/P17</f>
        <v>1.0854673709986535</v>
      </c>
      <c r="G13" s="58"/>
      <c r="H13" s="104"/>
      <c r="J13" s="55"/>
      <c r="K13" s="55"/>
      <c r="L13" s="55"/>
      <c r="M13" s="55"/>
      <c r="N13" s="55"/>
      <c r="O13" s="55"/>
      <c r="P13" s="55"/>
      <c r="Q13" s="55"/>
    </row>
    <row r="14" spans="1:17" x14ac:dyDescent="0.2">
      <c r="B14" s="54" t="s">
        <v>32</v>
      </c>
      <c r="C14" s="59">
        <v>0.01</v>
      </c>
      <c r="D14" s="55"/>
      <c r="E14" s="106" t="s">
        <v>37</v>
      </c>
      <c r="F14" s="95">
        <f>+XIRR(G22:G33,A22:A33)</f>
        <v>1.0249783873558043</v>
      </c>
      <c r="G14" s="62"/>
      <c r="H14" s="105"/>
      <c r="J14" s="55"/>
      <c r="K14" s="55"/>
      <c r="L14" s="154"/>
      <c r="O14" s="155"/>
      <c r="P14" s="155"/>
      <c r="Q14" s="155"/>
    </row>
    <row r="15" spans="1:17" x14ac:dyDescent="0.2">
      <c r="B15" s="54" t="s">
        <v>9</v>
      </c>
      <c r="C15" s="59">
        <v>0.62</v>
      </c>
      <c r="D15" s="55"/>
      <c r="E15" s="54" t="s">
        <v>43</v>
      </c>
      <c r="F15" s="63">
        <f>+((1+F14)^(1/12)-1)*12</f>
        <v>0.72671382912183624</v>
      </c>
      <c r="G15" s="63"/>
      <c r="H15" s="64"/>
      <c r="J15" s="55"/>
      <c r="K15" s="55"/>
      <c r="O15" s="156"/>
      <c r="P15" s="156"/>
      <c r="Q15" s="156"/>
    </row>
    <row r="16" spans="1:17" x14ac:dyDescent="0.2">
      <c r="B16" s="54" t="s">
        <v>10</v>
      </c>
      <c r="C16" s="59">
        <v>0.72</v>
      </c>
      <c r="D16" s="55"/>
      <c r="E16" s="54" t="s">
        <v>44</v>
      </c>
      <c r="F16" s="63">
        <f>+((F14+1)^(0.25)-1)*4</f>
        <v>0.77161164077112421</v>
      </c>
      <c r="G16" s="107"/>
      <c r="H16" s="64"/>
      <c r="J16" s="55"/>
      <c r="K16" s="55"/>
      <c r="L16" s="55"/>
      <c r="M16" s="157"/>
      <c r="N16" s="157"/>
      <c r="O16" s="157"/>
      <c r="P16" s="157"/>
      <c r="Q16" s="157"/>
    </row>
    <row r="17" spans="1:17" x14ac:dyDescent="0.2">
      <c r="B17" s="5" t="s">
        <v>41</v>
      </c>
      <c r="C17" s="76">
        <v>0.68625000000000003</v>
      </c>
      <c r="D17" s="55"/>
      <c r="E17" s="54" t="s">
        <v>32</v>
      </c>
      <c r="F17" s="63">
        <f>+F15-C17</f>
        <v>4.0463829121836214E-2</v>
      </c>
      <c r="H17" s="64"/>
      <c r="J17" s="55"/>
      <c r="K17" s="55"/>
      <c r="L17" s="55"/>
      <c r="M17" s="158"/>
      <c r="N17" s="156"/>
      <c r="O17" s="56" t="s">
        <v>7</v>
      </c>
      <c r="P17" s="159">
        <v>45210000</v>
      </c>
      <c r="Q17" s="156"/>
    </row>
    <row r="18" spans="1:17" x14ac:dyDescent="0.2">
      <c r="C18" s="54"/>
      <c r="D18" s="65"/>
      <c r="E18" s="60" t="s">
        <v>30</v>
      </c>
      <c r="F18" s="61">
        <f>+Q22</f>
        <v>3.98984016757553</v>
      </c>
      <c r="G18" s="63"/>
      <c r="H18" s="66"/>
      <c r="O18" s="56" t="s">
        <v>8</v>
      </c>
      <c r="P18" s="57">
        <f>+F12</f>
        <v>0.85250000000000004</v>
      </c>
    </row>
    <row r="19" spans="1:17" ht="15" x14ac:dyDescent="0.2">
      <c r="A19" s="108"/>
      <c r="B19" s="108"/>
      <c r="C19" s="108"/>
      <c r="D19" s="108"/>
      <c r="E19" s="108"/>
      <c r="F19" s="108"/>
      <c r="G19" s="108"/>
      <c r="H19" s="108"/>
    </row>
    <row r="20" spans="1:17" x14ac:dyDescent="0.2">
      <c r="A20" s="136" t="s">
        <v>36</v>
      </c>
      <c r="B20" s="136"/>
      <c r="C20" s="136"/>
      <c r="D20" s="136"/>
      <c r="E20" s="136"/>
      <c r="F20" s="136"/>
      <c r="G20" s="136"/>
      <c r="H20" s="136"/>
      <c r="I20" s="67"/>
      <c r="J20" s="55"/>
      <c r="K20" s="55"/>
      <c r="L20" s="160" t="s">
        <v>26</v>
      </c>
      <c r="M20" s="161"/>
      <c r="N20" s="162"/>
      <c r="O20" s="156"/>
      <c r="P20" s="156"/>
      <c r="Q20" s="156"/>
    </row>
    <row r="21" spans="1:17" ht="38.25" x14ac:dyDescent="0.2">
      <c r="A21" s="137" t="s">
        <v>0</v>
      </c>
      <c r="B21" s="137" t="s">
        <v>34</v>
      </c>
      <c r="C21" s="137" t="s">
        <v>14</v>
      </c>
      <c r="D21" s="137" t="s">
        <v>5</v>
      </c>
      <c r="E21" s="137" t="s">
        <v>1</v>
      </c>
      <c r="F21" s="137" t="s">
        <v>2</v>
      </c>
      <c r="G21" s="137" t="s">
        <v>3</v>
      </c>
      <c r="H21" s="137" t="s">
        <v>6</v>
      </c>
      <c r="J21" s="163" t="s">
        <v>0</v>
      </c>
      <c r="K21" s="137" t="s">
        <v>11</v>
      </c>
      <c r="L21" s="164" t="s">
        <v>24</v>
      </c>
      <c r="M21" s="164" t="s">
        <v>12</v>
      </c>
      <c r="N21" s="163" t="s">
        <v>13</v>
      </c>
      <c r="O21" s="137" t="s">
        <v>17</v>
      </c>
      <c r="P21" s="137" t="s">
        <v>18</v>
      </c>
      <c r="Q21" s="137" t="s">
        <v>4</v>
      </c>
    </row>
    <row r="22" spans="1:17" x14ac:dyDescent="0.2">
      <c r="A22" s="143">
        <v>44848</v>
      </c>
      <c r="B22" s="68"/>
      <c r="C22" s="109"/>
      <c r="D22" s="110"/>
      <c r="E22" s="111"/>
      <c r="F22" s="111"/>
      <c r="G22" s="111">
        <f>-F13*C12</f>
        <v>-49073979.842849128</v>
      </c>
      <c r="H22" s="111">
        <f>+C12</f>
        <v>45210000</v>
      </c>
      <c r="J22" s="165">
        <v>44789</v>
      </c>
      <c r="K22" s="166"/>
      <c r="L22" s="167"/>
      <c r="M22" s="168"/>
      <c r="N22" s="168"/>
      <c r="O22" s="169">
        <v>0</v>
      </c>
      <c r="P22" s="169">
        <f>+SUM(P23:P33)</f>
        <v>49073979.808884315</v>
      </c>
      <c r="Q22" s="170">
        <f>+SUM(Q23:Q33)</f>
        <v>3.98984016757553</v>
      </c>
    </row>
    <row r="23" spans="1:17" x14ac:dyDescent="0.2">
      <c r="A23" s="144">
        <v>44865</v>
      </c>
      <c r="B23" s="69">
        <f>+AVERAGE('Tasa BADLAR'!B2:B31)/100</f>
        <v>0.66379166666666667</v>
      </c>
      <c r="C23" s="112">
        <f t="shared" ref="C23:C33" si="0">IF(B23+$C$14&lt;$C$15,$C$15,IF(B23+$C$14&gt;$C$16,$C$16,B23+$C$14))</f>
        <v>0.67379166666666668</v>
      </c>
      <c r="D23" s="113">
        <f>+E23/$C$12</f>
        <v>0.16586214447562148</v>
      </c>
      <c r="E23" s="114">
        <f t="shared" ref="E23:E33" si="1">+IF(K23&gt;F23,MIN(K23-F23,H22),0)</f>
        <v>7498627.5517428471</v>
      </c>
      <c r="F23" s="114">
        <f t="shared" ref="F23:F33" si="2">+MIN($K23,N22+M23)</f>
        <v>5424761.3184931511</v>
      </c>
      <c r="G23" s="115">
        <f>+E23+F23</f>
        <v>12923388.870235998</v>
      </c>
      <c r="H23" s="115">
        <f>+H22-E23</f>
        <v>37711372.448257156</v>
      </c>
      <c r="J23" s="171">
        <v>44854</v>
      </c>
      <c r="K23" s="172">
        <f>12923388.870236*C12/P17</f>
        <v>12923388.870235998</v>
      </c>
      <c r="L23" s="173">
        <f t="shared" ref="L23:L33" si="3">+J23-J22</f>
        <v>65</v>
      </c>
      <c r="M23" s="174">
        <f t="shared" ref="M23:M33" si="4">+H22*(C23)/365*L23</f>
        <v>5424761.3184931511</v>
      </c>
      <c r="N23" s="174">
        <f t="shared" ref="N23:N33" si="5">+N22+M23-F23</f>
        <v>0</v>
      </c>
      <c r="O23" s="175">
        <f t="shared" ref="O23:O33" si="6">+G23</f>
        <v>12923388.870235998</v>
      </c>
      <c r="P23" s="176">
        <f>+O23/(1+$F$14)^((A23-$A$22)/365)</f>
        <v>12505607.041812606</v>
      </c>
      <c r="Q23" s="177">
        <f t="shared" ref="Q23:Q33" si="7">+P23*((A23-$A$22)/(30.4166666666667))/$P$22</f>
        <v>0.14242649966019971</v>
      </c>
    </row>
    <row r="24" spans="1:17" x14ac:dyDescent="0.2">
      <c r="A24" s="144">
        <v>44885</v>
      </c>
      <c r="B24" s="75">
        <f>+C17</f>
        <v>0.68625000000000003</v>
      </c>
      <c r="C24" s="69">
        <f t="shared" si="0"/>
        <v>0.69625000000000004</v>
      </c>
      <c r="D24" s="116">
        <f t="shared" ref="D24:D33" si="8">+E24/$C$12</f>
        <v>0</v>
      </c>
      <c r="E24" s="114">
        <f t="shared" si="1"/>
        <v>0</v>
      </c>
      <c r="F24" s="114">
        <f t="shared" si="2"/>
        <v>0</v>
      </c>
      <c r="G24" s="117">
        <f t="shared" ref="G24:G33" si="9">+E24+F24</f>
        <v>0</v>
      </c>
      <c r="H24" s="117">
        <f t="shared" ref="H24:H33" si="10">+H23-E24</f>
        <v>37711372.448257156</v>
      </c>
      <c r="J24" s="171">
        <f t="shared" ref="J24:J33" si="11">+A24</f>
        <v>44885</v>
      </c>
      <c r="K24" s="172">
        <v>0</v>
      </c>
      <c r="L24" s="173">
        <f t="shared" si="3"/>
        <v>31</v>
      </c>
      <c r="M24" s="174">
        <f t="shared" si="4"/>
        <v>2230007.7673426587</v>
      </c>
      <c r="N24" s="174">
        <f t="shared" si="5"/>
        <v>2230007.7673426587</v>
      </c>
      <c r="O24" s="175">
        <f t="shared" si="6"/>
        <v>0</v>
      </c>
      <c r="P24" s="178">
        <f>+O24/(1+$F$14)^((A24-$A$22)/365)</f>
        <v>0</v>
      </c>
      <c r="Q24" s="177">
        <f t="shared" si="7"/>
        <v>0</v>
      </c>
    </row>
    <row r="25" spans="1:17" x14ac:dyDescent="0.2">
      <c r="A25" s="144">
        <v>44915</v>
      </c>
      <c r="B25" s="75">
        <f t="shared" ref="B25:B32" si="12">+B24</f>
        <v>0.68625000000000003</v>
      </c>
      <c r="C25" s="69">
        <f t="shared" si="0"/>
        <v>0.69625000000000004</v>
      </c>
      <c r="D25" s="116">
        <f t="shared" si="8"/>
        <v>0</v>
      </c>
      <c r="E25" s="114">
        <f t="shared" si="1"/>
        <v>0</v>
      </c>
      <c r="F25" s="114">
        <f t="shared" si="2"/>
        <v>1209193.18971872</v>
      </c>
      <c r="G25" s="117">
        <f t="shared" si="9"/>
        <v>1209193.18971872</v>
      </c>
      <c r="H25" s="117">
        <f t="shared" si="10"/>
        <v>37711372.448257156</v>
      </c>
      <c r="J25" s="171">
        <f t="shared" si="11"/>
        <v>44915</v>
      </c>
      <c r="K25" s="172">
        <f>1209193.18971872*C12/P17</f>
        <v>1209193.18971872</v>
      </c>
      <c r="L25" s="173">
        <f t="shared" si="3"/>
        <v>30</v>
      </c>
      <c r="M25" s="174">
        <f t="shared" si="4"/>
        <v>2158072.0329122501</v>
      </c>
      <c r="N25" s="174">
        <f t="shared" si="5"/>
        <v>3178886.6105361893</v>
      </c>
      <c r="O25" s="175">
        <f t="shared" si="6"/>
        <v>1209193.18971872</v>
      </c>
      <c r="P25" s="178">
        <f>+O25/(1+$F$14)^((A25-$A$22)/365)</f>
        <v>1062303.6204526122</v>
      </c>
      <c r="Q25" s="177">
        <f t="shared" si="7"/>
        <v>4.76826700216001E-2</v>
      </c>
    </row>
    <row r="26" spans="1:17" x14ac:dyDescent="0.2">
      <c r="A26" s="144">
        <v>44946</v>
      </c>
      <c r="B26" s="75">
        <f t="shared" si="12"/>
        <v>0.68625000000000003</v>
      </c>
      <c r="C26" s="69">
        <f t="shared" si="0"/>
        <v>0.69625000000000004</v>
      </c>
      <c r="D26" s="116">
        <f t="shared" si="8"/>
        <v>7.8959326153751189E-2</v>
      </c>
      <c r="E26" s="114">
        <f t="shared" si="1"/>
        <v>3569751.1354110911</v>
      </c>
      <c r="F26" s="114">
        <f t="shared" si="2"/>
        <v>5408894.3778788485</v>
      </c>
      <c r="G26" s="117">
        <f t="shared" si="9"/>
        <v>8978645.5132899396</v>
      </c>
      <c r="H26" s="117">
        <f t="shared" si="10"/>
        <v>34141621.312846065</v>
      </c>
      <c r="J26" s="171">
        <f t="shared" si="11"/>
        <v>44946</v>
      </c>
      <c r="K26" s="172">
        <f>8978645.51328994*C12/P17</f>
        <v>8978645.5132899396</v>
      </c>
      <c r="L26" s="173">
        <f t="shared" si="3"/>
        <v>31</v>
      </c>
      <c r="M26" s="174">
        <f t="shared" si="4"/>
        <v>2230007.7673426587</v>
      </c>
      <c r="N26" s="174">
        <f t="shared" si="5"/>
        <v>0</v>
      </c>
      <c r="O26" s="175">
        <f t="shared" si="6"/>
        <v>8978645.5132899396</v>
      </c>
      <c r="P26" s="178">
        <f>+O26/(1+$F$14)^((A26-$A$22)/365)</f>
        <v>7429148.6613229411</v>
      </c>
      <c r="Q26" s="177">
        <f t="shared" si="7"/>
        <v>0.48775555732471187</v>
      </c>
    </row>
    <row r="27" spans="1:17" x14ac:dyDescent="0.2">
      <c r="A27" s="144">
        <v>44977</v>
      </c>
      <c r="B27" s="75">
        <f t="shared" si="12"/>
        <v>0.68625000000000003</v>
      </c>
      <c r="C27" s="69">
        <f t="shared" si="0"/>
        <v>0.69625000000000004</v>
      </c>
      <c r="D27" s="116">
        <f t="shared" si="8"/>
        <v>0.25510946207925517</v>
      </c>
      <c r="E27" s="114">
        <f t="shared" si="1"/>
        <v>11533498.780603126</v>
      </c>
      <c r="F27" s="114">
        <f t="shared" si="2"/>
        <v>2018915.6685236746</v>
      </c>
      <c r="G27" s="117">
        <f t="shared" si="9"/>
        <v>13552414.449126801</v>
      </c>
      <c r="H27" s="117">
        <f t="shared" si="10"/>
        <v>22608122.532242939</v>
      </c>
      <c r="J27" s="171">
        <f t="shared" si="11"/>
        <v>44977</v>
      </c>
      <c r="K27" s="172">
        <f>13552414.4491268*C12/P17</f>
        <v>13552414.449126801</v>
      </c>
      <c r="L27" s="173">
        <f t="shared" si="3"/>
        <v>31</v>
      </c>
      <c r="M27" s="174">
        <f t="shared" si="4"/>
        <v>2018915.6685236746</v>
      </c>
      <c r="N27" s="174">
        <f t="shared" si="5"/>
        <v>0</v>
      </c>
      <c r="O27" s="175">
        <f t="shared" si="6"/>
        <v>13552414.449126801</v>
      </c>
      <c r="P27" s="178">
        <f>+O27/(1+$F$14)^((A27-$A$22)/365)</f>
        <v>10561367.43539637</v>
      </c>
      <c r="Q27" s="177">
        <f t="shared" si="7"/>
        <v>0.91273974928910406</v>
      </c>
    </row>
    <row r="28" spans="1:17" x14ac:dyDescent="0.2">
      <c r="A28" s="144">
        <v>45005</v>
      </c>
      <c r="B28" s="75">
        <f t="shared" si="12"/>
        <v>0.68625000000000003</v>
      </c>
      <c r="C28" s="69">
        <f t="shared" si="0"/>
        <v>0.69625000000000004</v>
      </c>
      <c r="D28" s="116">
        <f t="shared" si="8"/>
        <v>0.13203726438837995</v>
      </c>
      <c r="E28" s="114">
        <f t="shared" si="1"/>
        <v>5969404.7229986573</v>
      </c>
      <c r="F28" s="114">
        <f t="shared" si="2"/>
        <v>1207521.5034687018</v>
      </c>
      <c r="G28" s="114">
        <f t="shared" si="9"/>
        <v>7176926.2264673589</v>
      </c>
      <c r="H28" s="117">
        <f t="shared" si="10"/>
        <v>16638717.809244283</v>
      </c>
      <c r="J28" s="171">
        <f t="shared" si="11"/>
        <v>45005</v>
      </c>
      <c r="K28" s="172">
        <f>7176926.22646736*C12/P17</f>
        <v>7176926.2264673589</v>
      </c>
      <c r="L28" s="173">
        <f t="shared" si="3"/>
        <v>28</v>
      </c>
      <c r="M28" s="174">
        <f t="shared" si="4"/>
        <v>1207521.5034687018</v>
      </c>
      <c r="N28" s="174">
        <f t="shared" si="5"/>
        <v>0</v>
      </c>
      <c r="O28" s="175">
        <f t="shared" si="6"/>
        <v>7176926.2264673589</v>
      </c>
      <c r="P28" s="178">
        <f>+O28/(1+$F$14)^((A28-$A$22)/365)</f>
        <v>5298290.1507925233</v>
      </c>
      <c r="Q28" s="177">
        <f t="shared" si="7"/>
        <v>0.5572787616298942</v>
      </c>
    </row>
    <row r="29" spans="1:17" x14ac:dyDescent="0.2">
      <c r="A29" s="144">
        <v>45036</v>
      </c>
      <c r="B29" s="75">
        <f t="shared" si="12"/>
        <v>0.68625000000000003</v>
      </c>
      <c r="C29" s="69">
        <f t="shared" si="0"/>
        <v>0.69625000000000004</v>
      </c>
      <c r="D29" s="116">
        <f t="shared" si="8"/>
        <v>0.13652279133272965</v>
      </c>
      <c r="E29" s="114">
        <f t="shared" si="1"/>
        <v>6172195.3961527077</v>
      </c>
      <c r="F29" s="114">
        <f t="shared" si="2"/>
        <v>983906.6452473324</v>
      </c>
      <c r="G29" s="117">
        <f t="shared" si="9"/>
        <v>7156102.0414000405</v>
      </c>
      <c r="H29" s="117">
        <f t="shared" si="10"/>
        <v>10466522.413091574</v>
      </c>
      <c r="J29" s="171">
        <f t="shared" si="11"/>
        <v>45036</v>
      </c>
      <c r="K29" s="172">
        <f>7156102.04140004*C12/P17</f>
        <v>7156102.0414000405</v>
      </c>
      <c r="L29" s="173">
        <f t="shared" si="3"/>
        <v>31</v>
      </c>
      <c r="M29" s="174">
        <f t="shared" si="4"/>
        <v>983906.6452473324</v>
      </c>
      <c r="N29" s="174">
        <f t="shared" si="5"/>
        <v>0</v>
      </c>
      <c r="O29" s="175">
        <f t="shared" si="6"/>
        <v>7156102.0414000405</v>
      </c>
      <c r="P29" s="178">
        <f>+O29/(1+$F$14)^((A29-$A$22)/365)</f>
        <v>4975640.9671667097</v>
      </c>
      <c r="Q29" s="177">
        <f t="shared" si="7"/>
        <v>0.6266773321580259</v>
      </c>
    </row>
    <row r="30" spans="1:17" x14ac:dyDescent="0.2">
      <c r="A30" s="144">
        <v>45066</v>
      </c>
      <c r="B30" s="75">
        <f t="shared" si="12"/>
        <v>0.68625000000000003</v>
      </c>
      <c r="C30" s="69">
        <f t="shared" si="0"/>
        <v>0.69625000000000004</v>
      </c>
      <c r="D30" s="116">
        <f t="shared" si="8"/>
        <v>2.5221015767536891E-2</v>
      </c>
      <c r="E30" s="114">
        <f t="shared" si="1"/>
        <v>1140242.1228503429</v>
      </c>
      <c r="F30" s="114">
        <f t="shared" si="2"/>
        <v>598957.49836561712</v>
      </c>
      <c r="G30" s="117">
        <f t="shared" si="9"/>
        <v>1739199.62121596</v>
      </c>
      <c r="H30" s="117">
        <f t="shared" si="10"/>
        <v>9326280.2902412303</v>
      </c>
      <c r="J30" s="171">
        <f t="shared" si="11"/>
        <v>45066</v>
      </c>
      <c r="K30" s="172">
        <f>1739199.62121596*C12/P17</f>
        <v>1739199.62121596</v>
      </c>
      <c r="L30" s="173">
        <f t="shared" si="3"/>
        <v>30</v>
      </c>
      <c r="M30" s="174">
        <f t="shared" si="4"/>
        <v>598957.49836561712</v>
      </c>
      <c r="N30" s="174">
        <f t="shared" si="5"/>
        <v>0</v>
      </c>
      <c r="O30" s="175">
        <f t="shared" si="6"/>
        <v>1739199.62121596</v>
      </c>
      <c r="P30" s="178">
        <f>+O30/(1+$F$14)^((A30-$A$22)/365)</f>
        <v>1141134.1559294206</v>
      </c>
      <c r="Q30" s="177">
        <f t="shared" si="7"/>
        <v>0.16665958650938967</v>
      </c>
    </row>
    <row r="31" spans="1:17" x14ac:dyDescent="0.2">
      <c r="A31" s="144">
        <v>45097</v>
      </c>
      <c r="B31" s="75">
        <f t="shared" si="12"/>
        <v>0.68625000000000003</v>
      </c>
      <c r="C31" s="69">
        <f t="shared" si="0"/>
        <v>0.69625000000000004</v>
      </c>
      <c r="D31" s="116">
        <f t="shared" si="8"/>
        <v>0.15101426208139707</v>
      </c>
      <c r="E31" s="114">
        <f t="shared" si="1"/>
        <v>6827354.7886999613</v>
      </c>
      <c r="F31" s="114">
        <f t="shared" si="2"/>
        <v>551496.17045066901</v>
      </c>
      <c r="G31" s="117">
        <f t="shared" si="9"/>
        <v>7378850.95915063</v>
      </c>
      <c r="H31" s="117">
        <f t="shared" si="10"/>
        <v>2498925.501541269</v>
      </c>
      <c r="J31" s="171">
        <f t="shared" si="11"/>
        <v>45097</v>
      </c>
      <c r="K31" s="172">
        <f>7378850.95915063*C12/P17</f>
        <v>7378850.95915063</v>
      </c>
      <c r="L31" s="173">
        <f t="shared" si="3"/>
        <v>31</v>
      </c>
      <c r="M31" s="174">
        <f t="shared" si="4"/>
        <v>551496.17045066901</v>
      </c>
      <c r="N31" s="174">
        <f t="shared" si="5"/>
        <v>0</v>
      </c>
      <c r="O31" s="175">
        <f t="shared" si="6"/>
        <v>7378850.95915063</v>
      </c>
      <c r="P31" s="178">
        <f>+O31/(1+$F$14)^((A31-$A$22)/365)</f>
        <v>4559857.4423322985</v>
      </c>
      <c r="Q31" s="177">
        <f t="shared" si="7"/>
        <v>0.76065498196637005</v>
      </c>
    </row>
    <row r="32" spans="1:17" x14ac:dyDescent="0.2">
      <c r="A32" s="144">
        <v>45127</v>
      </c>
      <c r="B32" s="75">
        <f t="shared" si="12"/>
        <v>0.68625000000000003</v>
      </c>
      <c r="C32" s="69">
        <f t="shared" si="0"/>
        <v>0.69625000000000004</v>
      </c>
      <c r="D32" s="116">
        <f t="shared" si="8"/>
        <v>5.5273733721328669E-2</v>
      </c>
      <c r="E32" s="114">
        <f t="shared" si="1"/>
        <v>2498925.501541269</v>
      </c>
      <c r="F32" s="114">
        <f t="shared" si="2"/>
        <v>143003.57921491301</v>
      </c>
      <c r="G32" s="117">
        <f t="shared" si="9"/>
        <v>2641929.0807561819</v>
      </c>
      <c r="H32" s="117">
        <f t="shared" si="10"/>
        <v>0</v>
      </c>
      <c r="J32" s="171">
        <f t="shared" si="11"/>
        <v>45127</v>
      </c>
      <c r="K32" s="172">
        <f>10428210.8877036*C12/P17</f>
        <v>10428210.887703599</v>
      </c>
      <c r="L32" s="173">
        <f t="shared" si="3"/>
        <v>30</v>
      </c>
      <c r="M32" s="174">
        <f t="shared" si="4"/>
        <v>143003.57921491301</v>
      </c>
      <c r="N32" s="174">
        <f t="shared" si="5"/>
        <v>0</v>
      </c>
      <c r="O32" s="175">
        <f t="shared" si="6"/>
        <v>2641929.0807561819</v>
      </c>
      <c r="P32" s="178">
        <f>+O32/(1+$F$14)^((A32-$A$22)/365)</f>
        <v>1540630.3336788334</v>
      </c>
      <c r="Q32" s="177">
        <f t="shared" si="7"/>
        <v>0.28796502901623444</v>
      </c>
    </row>
    <row r="33" spans="1:17" x14ac:dyDescent="0.2">
      <c r="A33" s="145">
        <v>45158</v>
      </c>
      <c r="B33" s="119">
        <f>+B32</f>
        <v>0.68625000000000003</v>
      </c>
      <c r="C33" s="118">
        <f t="shared" si="0"/>
        <v>0.69625000000000004</v>
      </c>
      <c r="D33" s="116">
        <f t="shared" si="8"/>
        <v>0</v>
      </c>
      <c r="E33" s="114">
        <f t="shared" si="1"/>
        <v>0</v>
      </c>
      <c r="F33" s="114">
        <f t="shared" si="2"/>
        <v>0</v>
      </c>
      <c r="G33" s="114">
        <f t="shared" si="9"/>
        <v>0</v>
      </c>
      <c r="H33" s="114">
        <f t="shared" si="10"/>
        <v>0</v>
      </c>
      <c r="I33" s="55"/>
      <c r="J33" s="179">
        <f t="shared" si="11"/>
        <v>45158</v>
      </c>
      <c r="K33" s="180">
        <f>7688941.73256113*C12/P17</f>
        <v>7688941.7325611301</v>
      </c>
      <c r="L33" s="181">
        <f t="shared" si="3"/>
        <v>31</v>
      </c>
      <c r="M33" s="182">
        <f t="shared" si="4"/>
        <v>0</v>
      </c>
      <c r="N33" s="183">
        <f t="shared" si="5"/>
        <v>0</v>
      </c>
      <c r="O33" s="184">
        <f t="shared" si="6"/>
        <v>0</v>
      </c>
      <c r="P33" s="182">
        <f>+O33/(1+$F$14)^((A33-$A$22)/365)</f>
        <v>0</v>
      </c>
      <c r="Q33" s="185">
        <f t="shared" si="7"/>
        <v>0</v>
      </c>
    </row>
    <row r="34" spans="1:17" x14ac:dyDescent="0.2">
      <c r="A34" s="138"/>
      <c r="B34" s="138"/>
      <c r="C34" s="139"/>
      <c r="D34" s="140">
        <f>SUM(D23:D33)</f>
        <v>1.0000000000000002</v>
      </c>
      <c r="E34" s="141">
        <f>SUM(E22:E33)</f>
        <v>45210000.000000007</v>
      </c>
      <c r="F34" s="141">
        <f>SUM(F22:F33)</f>
        <v>17546649.951361626</v>
      </c>
      <c r="G34" s="141">
        <f>SUM(G23:G33)</f>
        <v>62756649.951361619</v>
      </c>
      <c r="H34" s="142"/>
      <c r="I34" s="55"/>
      <c r="J34" s="186"/>
      <c r="K34" s="180" t="s">
        <v>25</v>
      </c>
      <c r="L34" s="186"/>
      <c r="M34" s="186"/>
      <c r="N34" s="55"/>
      <c r="O34" s="156"/>
      <c r="P34" s="156"/>
      <c r="Q34" s="156"/>
    </row>
    <row r="35" spans="1:17" ht="12.75" customHeight="1" x14ac:dyDescent="0.2">
      <c r="A35" s="126"/>
      <c r="B35" s="126"/>
      <c r="D35" s="70"/>
      <c r="E35" s="71"/>
      <c r="F35" s="71"/>
      <c r="G35" s="71"/>
      <c r="H35" s="72"/>
      <c r="I35" s="55"/>
      <c r="J35" s="186"/>
      <c r="K35" s="186"/>
      <c r="L35" s="186"/>
      <c r="M35" s="186"/>
      <c r="N35" s="55"/>
      <c r="O35" s="156"/>
      <c r="P35" s="156"/>
      <c r="Q35" s="156"/>
    </row>
    <row r="36" spans="1:17" ht="12.75" customHeight="1" x14ac:dyDescent="0.2">
      <c r="J36" s="187"/>
      <c r="K36" s="187"/>
      <c r="L36" s="187"/>
      <c r="M36" s="187"/>
      <c r="N36" s="55"/>
      <c r="O36" s="156"/>
      <c r="P36" s="156"/>
      <c r="Q36" s="156"/>
    </row>
    <row r="37" spans="1:17" ht="12.75" customHeight="1" x14ac:dyDescent="0.2">
      <c r="J37" s="188"/>
      <c r="K37" s="189"/>
      <c r="L37" s="189"/>
      <c r="M37" s="189"/>
      <c r="N37" s="190"/>
    </row>
    <row r="38" spans="1:17" ht="12.75" customHeight="1" x14ac:dyDescent="0.2">
      <c r="J38" s="188"/>
      <c r="K38" s="189"/>
      <c r="L38" s="189"/>
      <c r="M38" s="189"/>
      <c r="N38" s="190"/>
    </row>
    <row r="39" spans="1:17" ht="12.75" customHeight="1" x14ac:dyDescent="0.2">
      <c r="A39" s="136" t="s">
        <v>35</v>
      </c>
      <c r="B39" s="136"/>
      <c r="C39" s="136"/>
      <c r="D39" s="136"/>
      <c r="E39" s="136"/>
      <c r="F39" s="136"/>
      <c r="G39" s="136"/>
      <c r="H39" s="136"/>
      <c r="J39" s="55"/>
      <c r="K39" s="55"/>
      <c r="L39" s="160" t="s">
        <v>26</v>
      </c>
      <c r="M39" s="161"/>
      <c r="N39" s="162"/>
    </row>
    <row r="40" spans="1:17" ht="12.75" customHeight="1" x14ac:dyDescent="0.2">
      <c r="A40" s="137" t="s">
        <v>0</v>
      </c>
      <c r="B40" s="146" t="s">
        <v>38</v>
      </c>
      <c r="C40" s="147"/>
      <c r="D40" s="137" t="s">
        <v>5</v>
      </c>
      <c r="E40" s="137" t="s">
        <v>1</v>
      </c>
      <c r="F40" s="137" t="s">
        <v>2</v>
      </c>
      <c r="G40" s="137" t="s">
        <v>3</v>
      </c>
      <c r="H40" s="137" t="s">
        <v>6</v>
      </c>
      <c r="J40" s="163" t="s">
        <v>0</v>
      </c>
      <c r="K40" s="137" t="s">
        <v>11</v>
      </c>
      <c r="L40" s="164" t="s">
        <v>24</v>
      </c>
      <c r="M40" s="164" t="s">
        <v>12</v>
      </c>
      <c r="N40" s="163" t="s">
        <v>13</v>
      </c>
      <c r="O40" s="137" t="s">
        <v>18</v>
      </c>
      <c r="P40" s="137" t="s">
        <v>4</v>
      </c>
    </row>
    <row r="41" spans="1:17" ht="12.75" customHeight="1" x14ac:dyDescent="0.2">
      <c r="A41" s="198">
        <v>44848</v>
      </c>
      <c r="B41" s="199"/>
      <c r="C41" s="200"/>
      <c r="D41" s="110"/>
      <c r="E41" s="111"/>
      <c r="F41" s="111"/>
      <c r="G41" s="111"/>
      <c r="H41" s="111">
        <v>45210000</v>
      </c>
      <c r="J41" s="165">
        <v>44789</v>
      </c>
      <c r="K41" s="166"/>
      <c r="L41" s="167"/>
      <c r="M41" s="168"/>
      <c r="N41" s="168"/>
      <c r="O41" s="169">
        <f>+SUM(O42:O51)</f>
        <v>49073979.842849128</v>
      </c>
      <c r="P41" s="177">
        <f>+SUM(P42:P52)</f>
        <v>3.8830980525245198</v>
      </c>
    </row>
    <row r="42" spans="1:17" ht="12.75" customHeight="1" x14ac:dyDescent="0.2">
      <c r="A42" s="201">
        <v>44865</v>
      </c>
      <c r="B42" s="202">
        <f>+$C$15</f>
        <v>0.62</v>
      </c>
      <c r="C42" s="203"/>
      <c r="D42" s="113">
        <f>+E42/$P$17</f>
        <v>0.17544148237516491</v>
      </c>
      <c r="E42" s="114">
        <f t="shared" ref="E42:E52" si="13">+IF(K42&gt;F42,MIN(K42-F42,H41),0)</f>
        <v>7931709.4181812052</v>
      </c>
      <c r="F42" s="114">
        <f t="shared" ref="F42:F52" si="14">+MIN($K42,N41+M42)</f>
        <v>4991679.4520547949</v>
      </c>
      <c r="G42" s="115">
        <f>+E42+F42</f>
        <v>12923388.870236</v>
      </c>
      <c r="H42" s="115">
        <f>+H41-E42</f>
        <v>37278290.581818797</v>
      </c>
      <c r="J42" s="171">
        <v>44854</v>
      </c>
      <c r="K42" s="172">
        <f>12923388.870236</f>
        <v>12923388.870236</v>
      </c>
      <c r="L42" s="173">
        <f t="shared" ref="L42:L52" si="15">+J42-J41</f>
        <v>65</v>
      </c>
      <c r="M42" s="174">
        <f>+H41*(B42)/365*L42</f>
        <v>4991679.4520547949</v>
      </c>
      <c r="N42" s="175">
        <f t="shared" ref="N42:N52" si="16">+N41+M42-F42</f>
        <v>0</v>
      </c>
      <c r="O42" s="191">
        <f t="shared" ref="O42:O51" si="17">+G42/(1+$F$12)^((A42-$A$41)/365)</f>
        <v>12557566.363956958</v>
      </c>
      <c r="P42" s="192">
        <f t="shared" ref="P42:P51" si="18">+O42*((A42-$A$41)/365)/$O$41*(365/(365/12))</f>
        <v>0.14301826486720867</v>
      </c>
    </row>
    <row r="43" spans="1:17" ht="12.75" customHeight="1" x14ac:dyDescent="0.2">
      <c r="A43" s="201">
        <v>44885</v>
      </c>
      <c r="B43" s="202">
        <f t="shared" ref="B43:B52" si="19">+$C$15</f>
        <v>0.62</v>
      </c>
      <c r="C43" s="203"/>
      <c r="D43" s="113">
        <f t="shared" ref="D43:D52" si="20">+E43/$P$17</f>
        <v>0</v>
      </c>
      <c r="E43" s="114">
        <f t="shared" si="13"/>
        <v>0</v>
      </c>
      <c r="F43" s="114">
        <f t="shared" si="14"/>
        <v>0</v>
      </c>
      <c r="G43" s="117">
        <f t="shared" ref="G43:G52" si="21">+E43+F43</f>
        <v>0</v>
      </c>
      <c r="H43" s="117">
        <f t="shared" ref="H43:H52" si="22">+H42-E43</f>
        <v>37278290.581818797</v>
      </c>
      <c r="J43" s="171">
        <f t="shared" ref="J43:J52" si="23">+A43</f>
        <v>44885</v>
      </c>
      <c r="K43" s="172">
        <v>0</v>
      </c>
      <c r="L43" s="173">
        <f t="shared" si="15"/>
        <v>31</v>
      </c>
      <c r="M43" s="174">
        <f t="shared" ref="M43:M52" si="24">+H42*(B43)/365*L43</f>
        <v>1962982.8629659102</v>
      </c>
      <c r="N43" s="175">
        <f t="shared" si="16"/>
        <v>1962982.8629659102</v>
      </c>
      <c r="O43" s="193">
        <f t="shared" si="17"/>
        <v>0</v>
      </c>
      <c r="P43" s="194">
        <f t="shared" si="18"/>
        <v>0</v>
      </c>
    </row>
    <row r="44" spans="1:17" x14ac:dyDescent="0.2">
      <c r="A44" s="201">
        <v>44915</v>
      </c>
      <c r="B44" s="202">
        <f t="shared" si="19"/>
        <v>0.62</v>
      </c>
      <c r="C44" s="203"/>
      <c r="D44" s="113">
        <f t="shared" si="20"/>
        <v>0</v>
      </c>
      <c r="E44" s="114">
        <f t="shared" si="13"/>
        <v>0</v>
      </c>
      <c r="F44" s="114">
        <f t="shared" si="14"/>
        <v>1209193.18971872</v>
      </c>
      <c r="G44" s="117">
        <f t="shared" si="21"/>
        <v>1209193.18971872</v>
      </c>
      <c r="H44" s="117">
        <f t="shared" si="22"/>
        <v>37278290.581818797</v>
      </c>
      <c r="J44" s="171">
        <f t="shared" si="23"/>
        <v>44915</v>
      </c>
      <c r="K44" s="172">
        <f>1209193.18971872</f>
        <v>1209193.18971872</v>
      </c>
      <c r="L44" s="173">
        <f t="shared" si="15"/>
        <v>30</v>
      </c>
      <c r="M44" s="174">
        <f t="shared" si="24"/>
        <v>1899660.8351283004</v>
      </c>
      <c r="N44" s="175">
        <f t="shared" si="16"/>
        <v>2653450.5083754905</v>
      </c>
      <c r="O44" s="193">
        <f t="shared" si="17"/>
        <v>1079805.5470049132</v>
      </c>
      <c r="P44" s="194">
        <f t="shared" si="18"/>
        <v>4.8468263270867701E-2</v>
      </c>
    </row>
    <row r="45" spans="1:17" x14ac:dyDescent="0.2">
      <c r="A45" s="201">
        <v>44946</v>
      </c>
      <c r="B45" s="202">
        <f t="shared" si="19"/>
        <v>0.62</v>
      </c>
      <c r="C45" s="203"/>
      <c r="D45" s="113">
        <f t="shared" si="20"/>
        <v>9.6487771332637445E-2</v>
      </c>
      <c r="E45" s="114">
        <f t="shared" si="13"/>
        <v>4362212.1419485388</v>
      </c>
      <c r="F45" s="114">
        <f t="shared" si="14"/>
        <v>4616433.3713414008</v>
      </c>
      <c r="G45" s="117">
        <f t="shared" si="21"/>
        <v>8978645.5132899396</v>
      </c>
      <c r="H45" s="117">
        <f t="shared" si="22"/>
        <v>32916078.439870257</v>
      </c>
      <c r="J45" s="171">
        <f t="shared" si="23"/>
        <v>44946</v>
      </c>
      <c r="K45" s="172">
        <f>8978645.51328994</f>
        <v>8978645.5132899396</v>
      </c>
      <c r="L45" s="173">
        <f t="shared" si="15"/>
        <v>31</v>
      </c>
      <c r="M45" s="174">
        <f t="shared" si="24"/>
        <v>1962982.8629659102</v>
      </c>
      <c r="N45" s="175">
        <f t="shared" si="16"/>
        <v>0</v>
      </c>
      <c r="O45" s="193">
        <f t="shared" si="17"/>
        <v>7608859.7361510377</v>
      </c>
      <c r="P45" s="194">
        <f t="shared" si="18"/>
        <v>0.49955436185637092</v>
      </c>
    </row>
    <row r="46" spans="1:17" x14ac:dyDescent="0.2">
      <c r="A46" s="201">
        <v>44977</v>
      </c>
      <c r="B46" s="202">
        <f t="shared" si="19"/>
        <v>0.62</v>
      </c>
      <c r="C46" s="203"/>
      <c r="D46" s="113">
        <f t="shared" si="20"/>
        <v>0.26142744794108319</v>
      </c>
      <c r="E46" s="114">
        <f t="shared" si="13"/>
        <v>11819134.921416372</v>
      </c>
      <c r="F46" s="114">
        <f t="shared" si="14"/>
        <v>1733279.5277104282</v>
      </c>
      <c r="G46" s="117">
        <f t="shared" si="21"/>
        <v>13552414.449126801</v>
      </c>
      <c r="H46" s="117">
        <f t="shared" si="22"/>
        <v>21096943.518453885</v>
      </c>
      <c r="J46" s="171">
        <f t="shared" si="23"/>
        <v>44977</v>
      </c>
      <c r="K46" s="172">
        <f>13552414.4491268</f>
        <v>13552414.449126801</v>
      </c>
      <c r="L46" s="173">
        <f t="shared" si="15"/>
        <v>31</v>
      </c>
      <c r="M46" s="174">
        <f t="shared" si="24"/>
        <v>1733279.5277104282</v>
      </c>
      <c r="N46" s="175">
        <f t="shared" si="16"/>
        <v>0</v>
      </c>
      <c r="O46" s="193">
        <f t="shared" si="17"/>
        <v>10898941.422187304</v>
      </c>
      <c r="P46" s="194">
        <f t="shared" si="18"/>
        <v>0.94191373561897596</v>
      </c>
    </row>
    <row r="47" spans="1:17" x14ac:dyDescent="0.2">
      <c r="A47" s="201">
        <v>45005</v>
      </c>
      <c r="B47" s="202">
        <f t="shared" si="19"/>
        <v>0.62</v>
      </c>
      <c r="C47" s="203"/>
      <c r="D47" s="113">
        <f t="shared" si="20"/>
        <v>0.13655211043624285</v>
      </c>
      <c r="E47" s="114">
        <f t="shared" si="13"/>
        <v>6173520.9128225399</v>
      </c>
      <c r="F47" s="114">
        <f t="shared" si="14"/>
        <v>1003405.3136448202</v>
      </c>
      <c r="G47" s="114">
        <f t="shared" si="21"/>
        <v>7176926.2264673598</v>
      </c>
      <c r="H47" s="117">
        <f t="shared" si="22"/>
        <v>14923422.605631344</v>
      </c>
      <c r="J47" s="171">
        <f t="shared" si="23"/>
        <v>45005</v>
      </c>
      <c r="K47" s="172">
        <f>7176926.22646736</f>
        <v>7176926.2264673598</v>
      </c>
      <c r="L47" s="173">
        <f t="shared" si="15"/>
        <v>28</v>
      </c>
      <c r="M47" s="174">
        <f>+H46*(B47)/365*L47</f>
        <v>1003405.3136448202</v>
      </c>
      <c r="N47" s="175">
        <f t="shared" si="16"/>
        <v>0</v>
      </c>
      <c r="O47" s="193">
        <f t="shared" si="17"/>
        <v>5505107.0647164164</v>
      </c>
      <c r="P47" s="194">
        <f t="shared" si="18"/>
        <v>0.57903194393438984</v>
      </c>
    </row>
    <row r="48" spans="1:17" x14ac:dyDescent="0.2">
      <c r="A48" s="201">
        <v>45036</v>
      </c>
      <c r="B48" s="202">
        <f t="shared" si="19"/>
        <v>0.62</v>
      </c>
      <c r="C48" s="203"/>
      <c r="D48" s="113">
        <f t="shared" si="20"/>
        <v>0.1409040346044656</v>
      </c>
      <c r="E48" s="114">
        <f t="shared" si="13"/>
        <v>6370271.40446789</v>
      </c>
      <c r="F48" s="114">
        <f t="shared" si="14"/>
        <v>785830.63693214918</v>
      </c>
      <c r="G48" s="117">
        <f t="shared" si="21"/>
        <v>7156102.0414000396</v>
      </c>
      <c r="H48" s="117">
        <f t="shared" si="22"/>
        <v>8553151.201163454</v>
      </c>
      <c r="J48" s="171">
        <f t="shared" si="23"/>
        <v>45036</v>
      </c>
      <c r="K48" s="172">
        <f>7156102.04140004</f>
        <v>7156102.0414000396</v>
      </c>
      <c r="L48" s="173">
        <f t="shared" si="15"/>
        <v>31</v>
      </c>
      <c r="M48" s="174">
        <f t="shared" si="24"/>
        <v>785830.63693214918</v>
      </c>
      <c r="N48" s="175">
        <f t="shared" si="16"/>
        <v>0</v>
      </c>
      <c r="O48" s="193">
        <f t="shared" si="17"/>
        <v>5209100.1053089667</v>
      </c>
      <c r="P48" s="194">
        <f t="shared" si="18"/>
        <v>0.65608129208298382</v>
      </c>
    </row>
    <row r="49" spans="1:16" x14ac:dyDescent="0.2">
      <c r="A49" s="201">
        <v>45066</v>
      </c>
      <c r="B49" s="202">
        <f t="shared" si="19"/>
        <v>0.62</v>
      </c>
      <c r="C49" s="203"/>
      <c r="D49" s="113">
        <f t="shared" si="20"/>
        <v>2.8828586802058291E-2</v>
      </c>
      <c r="E49" s="114">
        <f t="shared" si="13"/>
        <v>1303340.4093210553</v>
      </c>
      <c r="F49" s="114">
        <f t="shared" si="14"/>
        <v>435859.21189490479</v>
      </c>
      <c r="G49" s="117">
        <f t="shared" si="21"/>
        <v>1739199.62121596</v>
      </c>
      <c r="H49" s="117">
        <f t="shared" si="22"/>
        <v>7249810.7918423992</v>
      </c>
      <c r="J49" s="171">
        <f t="shared" si="23"/>
        <v>45066</v>
      </c>
      <c r="K49" s="172">
        <f>1739199.62121596</f>
        <v>1739199.62121596</v>
      </c>
      <c r="L49" s="173">
        <f t="shared" si="15"/>
        <v>30</v>
      </c>
      <c r="M49" s="174">
        <f t="shared" si="24"/>
        <v>435859.21189490479</v>
      </c>
      <c r="N49" s="175">
        <f t="shared" si="16"/>
        <v>0</v>
      </c>
      <c r="O49" s="193">
        <f t="shared" si="17"/>
        <v>1203450.0971598341</v>
      </c>
      <c r="P49" s="194">
        <f t="shared" si="18"/>
        <v>0.17576066266737272</v>
      </c>
    </row>
    <row r="50" spans="1:16" x14ac:dyDescent="0.2">
      <c r="A50" s="201">
        <v>45097</v>
      </c>
      <c r="B50" s="202">
        <f t="shared" si="19"/>
        <v>0.62</v>
      </c>
      <c r="C50" s="203"/>
      <c r="D50" s="113">
        <f t="shared" si="20"/>
        <v>0.1547687192899358</v>
      </c>
      <c r="E50" s="114">
        <f t="shared" si="13"/>
        <v>6997093.7990979971</v>
      </c>
      <c r="F50" s="114">
        <f t="shared" si="14"/>
        <v>381757.16005263262</v>
      </c>
      <c r="G50" s="117">
        <f t="shared" si="21"/>
        <v>7378850.95915063</v>
      </c>
      <c r="H50" s="117">
        <f t="shared" si="22"/>
        <v>252716.99274440203</v>
      </c>
      <c r="J50" s="171">
        <f t="shared" si="23"/>
        <v>45097</v>
      </c>
      <c r="K50" s="172">
        <f>7378850.95915063</f>
        <v>7378850.95915063</v>
      </c>
      <c r="L50" s="173">
        <f t="shared" si="15"/>
        <v>31</v>
      </c>
      <c r="M50" s="174">
        <f t="shared" si="24"/>
        <v>381757.16005263262</v>
      </c>
      <c r="N50" s="175">
        <f t="shared" si="16"/>
        <v>0</v>
      </c>
      <c r="O50" s="193">
        <f t="shared" si="17"/>
        <v>4845362.6106337076</v>
      </c>
      <c r="P50" s="194">
        <f t="shared" si="18"/>
        <v>0.80828167399375217</v>
      </c>
    </row>
    <row r="51" spans="1:16" x14ac:dyDescent="0.2">
      <c r="A51" s="201">
        <v>45127</v>
      </c>
      <c r="B51" s="202">
        <f t="shared" si="19"/>
        <v>0.62</v>
      </c>
      <c r="C51" s="203"/>
      <c r="D51" s="113">
        <f t="shared" si="20"/>
        <v>5.5898472184119008E-3</v>
      </c>
      <c r="E51" s="114">
        <f t="shared" si="13"/>
        <v>252716.99274440203</v>
      </c>
      <c r="F51" s="114">
        <f t="shared" si="14"/>
        <v>12878.181000125693</v>
      </c>
      <c r="G51" s="117">
        <f t="shared" si="21"/>
        <v>265595.17374452774</v>
      </c>
      <c r="H51" s="117">
        <f t="shared" si="22"/>
        <v>0</v>
      </c>
      <c r="J51" s="171">
        <f t="shared" si="23"/>
        <v>45127</v>
      </c>
      <c r="K51" s="172">
        <f>10428210.8877036</f>
        <v>10428210.887703599</v>
      </c>
      <c r="L51" s="173">
        <f t="shared" si="15"/>
        <v>30</v>
      </c>
      <c r="M51" s="174">
        <f t="shared" si="24"/>
        <v>12878.181000125693</v>
      </c>
      <c r="N51" s="175">
        <f t="shared" si="16"/>
        <v>0</v>
      </c>
      <c r="O51" s="193">
        <f t="shared" si="17"/>
        <v>165786.89572999685</v>
      </c>
      <c r="P51" s="194">
        <f t="shared" si="18"/>
        <v>3.0987854232597617E-2</v>
      </c>
    </row>
    <row r="52" spans="1:16" x14ac:dyDescent="0.2">
      <c r="A52" s="204">
        <v>45158</v>
      </c>
      <c r="B52" s="202">
        <f t="shared" si="19"/>
        <v>0.62</v>
      </c>
      <c r="C52" s="203"/>
      <c r="D52" s="113">
        <f t="shared" si="20"/>
        <v>0</v>
      </c>
      <c r="E52" s="114">
        <f t="shared" si="13"/>
        <v>0</v>
      </c>
      <c r="F52" s="114">
        <f t="shared" si="14"/>
        <v>0</v>
      </c>
      <c r="G52" s="114">
        <f t="shared" si="21"/>
        <v>0</v>
      </c>
      <c r="H52" s="114">
        <f t="shared" si="22"/>
        <v>0</v>
      </c>
      <c r="J52" s="179">
        <f t="shared" si="23"/>
        <v>45158</v>
      </c>
      <c r="K52" s="180">
        <f>7688941.73256113</f>
        <v>7688941.7325611301</v>
      </c>
      <c r="L52" s="181">
        <f t="shared" si="15"/>
        <v>31</v>
      </c>
      <c r="M52" s="182">
        <f t="shared" si="24"/>
        <v>0</v>
      </c>
      <c r="N52" s="184">
        <f t="shared" si="16"/>
        <v>0</v>
      </c>
      <c r="O52" s="195">
        <f>+G52/(1+$F$12)^((A52-$A$41)/365)</f>
        <v>0</v>
      </c>
      <c r="P52" s="196">
        <f>+O52*((A52-$A$41)/365)/$O$41*(365/(365/12))</f>
        <v>0</v>
      </c>
    </row>
    <row r="53" spans="1:16" x14ac:dyDescent="0.2">
      <c r="A53" s="138"/>
      <c r="B53" s="148"/>
      <c r="C53" s="149"/>
      <c r="D53" s="140">
        <f>SUM(D42:D52)</f>
        <v>1</v>
      </c>
      <c r="E53" s="141">
        <f>SUM(E41:E52)</f>
        <v>45210000</v>
      </c>
      <c r="F53" s="141">
        <f>SUM(F41:F52)</f>
        <v>15170316.044349978</v>
      </c>
      <c r="G53" s="141">
        <f>SUM(G42:G52)</f>
        <v>60380316.044349983</v>
      </c>
      <c r="H53" s="142"/>
      <c r="J53" s="186"/>
      <c r="K53" s="180" t="s">
        <v>25</v>
      </c>
      <c r="L53" s="186"/>
      <c r="M53" s="186"/>
      <c r="N53" s="55"/>
    </row>
    <row r="56" spans="1:16" ht="9" customHeight="1" x14ac:dyDescent="0.2">
      <c r="A56" s="197" t="s">
        <v>20</v>
      </c>
      <c r="B56" s="197"/>
      <c r="C56" s="197"/>
      <c r="D56" s="197"/>
      <c r="E56" s="197"/>
      <c r="F56" s="197"/>
      <c r="G56" s="197"/>
      <c r="H56" s="197"/>
    </row>
    <row r="57" spans="1:16" ht="9" customHeight="1" x14ac:dyDescent="0.2">
      <c r="A57" s="197"/>
      <c r="B57" s="197"/>
      <c r="C57" s="197"/>
      <c r="D57" s="197"/>
      <c r="E57" s="197"/>
      <c r="F57" s="197"/>
      <c r="G57" s="197"/>
      <c r="H57" s="197"/>
    </row>
    <row r="58" spans="1:16" ht="9" customHeight="1" x14ac:dyDescent="0.2">
      <c r="A58" s="197"/>
      <c r="B58" s="197"/>
      <c r="C58" s="197"/>
      <c r="D58" s="197"/>
      <c r="E58" s="197"/>
      <c r="F58" s="197"/>
      <c r="G58" s="197"/>
      <c r="H58" s="197"/>
    </row>
    <row r="59" spans="1:16" ht="9" customHeight="1" x14ac:dyDescent="0.2">
      <c r="A59" s="197"/>
      <c r="B59" s="197"/>
      <c r="C59" s="197"/>
      <c r="D59" s="197"/>
      <c r="E59" s="197"/>
      <c r="F59" s="197"/>
      <c r="G59" s="197"/>
      <c r="H59" s="197"/>
    </row>
    <row r="60" spans="1:16" ht="9" customHeight="1" x14ac:dyDescent="0.2">
      <c r="A60" s="197"/>
      <c r="B60" s="197"/>
      <c r="C60" s="197"/>
      <c r="D60" s="197"/>
      <c r="E60" s="197"/>
      <c r="F60" s="197"/>
      <c r="G60" s="197"/>
      <c r="H60" s="197"/>
    </row>
    <row r="61" spans="1:16" ht="9" customHeight="1" x14ac:dyDescent="0.2">
      <c r="A61" s="197"/>
      <c r="B61" s="197"/>
      <c r="C61" s="197"/>
      <c r="D61" s="197"/>
      <c r="E61" s="197"/>
      <c r="F61" s="197"/>
      <c r="G61" s="197"/>
      <c r="H61" s="197"/>
    </row>
    <row r="62" spans="1:16" ht="9" customHeight="1" x14ac:dyDescent="0.2">
      <c r="A62" s="197"/>
      <c r="B62" s="197"/>
      <c r="C62" s="197"/>
      <c r="D62" s="197"/>
      <c r="E62" s="197"/>
      <c r="F62" s="197"/>
      <c r="G62" s="197"/>
      <c r="H62" s="197"/>
    </row>
    <row r="63" spans="1:16" ht="9" customHeight="1" x14ac:dyDescent="0.2">
      <c r="A63" s="197"/>
      <c r="B63" s="197"/>
      <c r="C63" s="197"/>
      <c r="D63" s="197"/>
      <c r="E63" s="197"/>
      <c r="F63" s="197"/>
      <c r="G63" s="197"/>
      <c r="H63" s="197"/>
    </row>
    <row r="64" spans="1:16" ht="9" customHeight="1" x14ac:dyDescent="0.2">
      <c r="A64" s="197"/>
      <c r="B64" s="197"/>
      <c r="C64" s="197"/>
      <c r="D64" s="197"/>
      <c r="E64" s="197"/>
      <c r="F64" s="197"/>
      <c r="G64" s="197"/>
      <c r="H64" s="197"/>
    </row>
    <row r="65" spans="1:8" ht="9" customHeight="1" x14ac:dyDescent="0.2">
      <c r="A65" s="197"/>
      <c r="B65" s="197"/>
      <c r="C65" s="197"/>
      <c r="D65" s="197"/>
      <c r="E65" s="197"/>
      <c r="F65" s="197"/>
      <c r="G65" s="197"/>
      <c r="H65" s="197"/>
    </row>
    <row r="66" spans="1:8" ht="27.75" customHeight="1" x14ac:dyDescent="0.2">
      <c r="A66" s="197"/>
      <c r="B66" s="197"/>
      <c r="C66" s="197"/>
      <c r="D66" s="197"/>
      <c r="E66" s="197"/>
      <c r="F66" s="197"/>
      <c r="G66" s="197"/>
      <c r="H66" s="197"/>
    </row>
  </sheetData>
  <mergeCells count="26">
    <mergeCell ref="A56:H66"/>
    <mergeCell ref="A4:B4"/>
    <mergeCell ref="C4:F4"/>
    <mergeCell ref="J1:M1"/>
    <mergeCell ref="A20:H20"/>
    <mergeCell ref="L20:N20"/>
    <mergeCell ref="A6:H6"/>
    <mergeCell ref="A35:B35"/>
    <mergeCell ref="A8:H10"/>
    <mergeCell ref="B13:C13"/>
    <mergeCell ref="B53:C53"/>
    <mergeCell ref="B48:C48"/>
    <mergeCell ref="B49:C49"/>
    <mergeCell ref="B50:C50"/>
    <mergeCell ref="B51:C51"/>
    <mergeCell ref="B52:C52"/>
    <mergeCell ref="L39:N39"/>
    <mergeCell ref="A39:H39"/>
    <mergeCell ref="B40:C40"/>
    <mergeCell ref="B41:C41"/>
    <mergeCell ref="B42:C42"/>
    <mergeCell ref="B43:C43"/>
    <mergeCell ref="B44:C44"/>
    <mergeCell ref="B45:C45"/>
    <mergeCell ref="B46:C46"/>
    <mergeCell ref="B47:C47"/>
  </mergeCells>
  <phoneticPr fontId="4" type="noConversion"/>
  <conditionalFormatting sqref="E34:G35 L23:L33 E23:E33">
    <cfRule type="cellIs" dxfId="19" priority="15" stopIfTrue="1" operator="equal">
      <formula>0</formula>
    </cfRule>
  </conditionalFormatting>
  <conditionalFormatting sqref="F23:F33">
    <cfRule type="cellIs" dxfId="18" priority="9" stopIfTrue="1" operator="equal">
      <formula>0</formula>
    </cfRule>
  </conditionalFormatting>
  <conditionalFormatting sqref="G28">
    <cfRule type="cellIs" dxfId="17" priority="8" stopIfTrue="1" operator="equal">
      <formula>0</formula>
    </cfRule>
  </conditionalFormatting>
  <conditionalFormatting sqref="G33:H33">
    <cfRule type="cellIs" dxfId="16" priority="7" stopIfTrue="1" operator="equal">
      <formula>0</formula>
    </cfRule>
  </conditionalFormatting>
  <conditionalFormatting sqref="L42:L52">
    <cfRule type="cellIs" dxfId="15" priority="6" stopIfTrue="1" operator="equal">
      <formula>0</formula>
    </cfRule>
  </conditionalFormatting>
  <conditionalFormatting sqref="E53:G53 E43:E52">
    <cfRule type="cellIs" dxfId="14" priority="5" stopIfTrue="1" operator="equal">
      <formula>0</formula>
    </cfRule>
  </conditionalFormatting>
  <conditionalFormatting sqref="F42:F52">
    <cfRule type="cellIs" dxfId="13" priority="4" stopIfTrue="1" operator="equal">
      <formula>0</formula>
    </cfRule>
  </conditionalFormatting>
  <conditionalFormatting sqref="G47">
    <cfRule type="cellIs" dxfId="12" priority="3" stopIfTrue="1" operator="equal">
      <formula>0</formula>
    </cfRule>
  </conditionalFormatting>
  <conditionalFormatting sqref="G52:H52">
    <cfRule type="cellIs" dxfId="11" priority="2" stopIfTrue="1" operator="equal">
      <formula>0</formula>
    </cfRule>
  </conditionalFormatting>
  <conditionalFormatting sqref="E42">
    <cfRule type="cellIs" dxfId="10" priority="1" stopIfTrue="1" operator="equal">
      <formula>0</formula>
    </cfRule>
  </conditionalFormatting>
  <printOptions horizontalCentered="1"/>
  <pageMargins left="0.78740157480314965" right="0.78740157480314965" top="0.77" bottom="3.937007874015748E-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68"/>
  <sheetViews>
    <sheetView showGridLines="0" zoomScale="90" zoomScaleNormal="90" workbookViewId="0">
      <selection activeCell="G12" sqref="G12"/>
    </sheetView>
  </sheetViews>
  <sheetFormatPr baseColWidth="10" defaultColWidth="0" defaultRowHeight="12.75" x14ac:dyDescent="0.2"/>
  <cols>
    <col min="1" max="1" width="12.42578125" style="5" customWidth="1"/>
    <col min="2" max="2" width="17.28515625" style="5" customWidth="1"/>
    <col min="3" max="3" width="12.28515625" style="5" bestFit="1" customWidth="1"/>
    <col min="4" max="4" width="12.7109375" style="5" customWidth="1"/>
    <col min="5" max="5" width="16.85546875" style="5" customWidth="1"/>
    <col min="6" max="6" width="14.42578125" style="5" bestFit="1" customWidth="1"/>
    <col min="7" max="7" width="16.42578125" style="5" bestFit="1" customWidth="1"/>
    <col min="8" max="8" width="17.42578125" style="5" bestFit="1" customWidth="1"/>
    <col min="9" max="9" width="1.140625" style="5" customWidth="1"/>
    <col min="10" max="10" width="10.42578125" style="6" hidden="1" customWidth="1"/>
    <col min="11" max="11" width="16.42578125" style="6" hidden="1" customWidth="1"/>
    <col min="12" max="12" width="18.42578125" style="6" hidden="1" customWidth="1"/>
    <col min="13" max="13" width="14.5703125" style="6" hidden="1" customWidth="1"/>
    <col min="14" max="14" width="18" style="6" hidden="1" customWidth="1"/>
    <col min="15" max="17" width="16.42578125" style="6" hidden="1" customWidth="1"/>
    <col min="18" max="18" width="14.85546875" style="6" hidden="1" customWidth="1"/>
    <col min="19" max="19" width="17.42578125" style="6" hidden="1" customWidth="1"/>
    <col min="20" max="20" width="17.5703125" style="6" hidden="1" customWidth="1"/>
    <col min="21" max="21" width="12.140625" style="6" hidden="1" customWidth="1"/>
    <col min="22" max="22" width="11.7109375" style="6" hidden="1" customWidth="1"/>
    <col min="23" max="23" width="13.85546875" style="7" hidden="1" customWidth="1"/>
    <col min="24" max="24" width="14.42578125" style="6" hidden="1" customWidth="1"/>
    <col min="25" max="26" width="11.7109375" style="6" hidden="1" customWidth="1"/>
    <col min="27" max="27" width="12.28515625" style="6" hidden="1" customWidth="1"/>
    <col min="28" max="28" width="12.5703125" style="8" hidden="1" customWidth="1"/>
    <col min="29" max="16384" width="11.42578125" style="8" hidden="1"/>
  </cols>
  <sheetData>
    <row r="1" spans="1:27" s="51" customFormat="1" x14ac:dyDescent="0.2">
      <c r="A1" s="77"/>
      <c r="B1" s="77"/>
      <c r="C1" s="77"/>
      <c r="D1" s="77"/>
      <c r="E1" s="77"/>
      <c r="F1" s="77"/>
      <c r="G1" s="77"/>
      <c r="H1" s="77"/>
      <c r="I1" s="77"/>
    </row>
    <row r="2" spans="1:27" s="51" customFormat="1" ht="45" customHeight="1" x14ac:dyDescent="0.2">
      <c r="A2" s="131"/>
      <c r="B2" s="131"/>
      <c r="C2" s="131"/>
      <c r="D2" s="131"/>
      <c r="E2" s="131"/>
      <c r="F2" s="131"/>
      <c r="G2" s="131"/>
      <c r="H2" s="131"/>
      <c r="I2" s="77"/>
    </row>
    <row r="3" spans="1:27" s="51" customFormat="1" ht="14.25" hidden="1" customHeight="1" x14ac:dyDescent="0.2">
      <c r="A3" s="131"/>
      <c r="B3" s="131"/>
      <c r="C3" s="131"/>
      <c r="D3" s="131"/>
      <c r="E3" s="131"/>
      <c r="F3" s="131"/>
      <c r="G3" s="131"/>
      <c r="H3" s="131"/>
      <c r="I3" s="77"/>
    </row>
    <row r="4" spans="1:27" s="51" customFormat="1" ht="17.25" customHeight="1" x14ac:dyDescent="0.25">
      <c r="A4" s="132"/>
      <c r="B4" s="132"/>
      <c r="C4" s="133"/>
      <c r="D4" s="133"/>
      <c r="E4" s="133"/>
      <c r="F4" s="133"/>
      <c r="G4" s="134"/>
      <c r="H4" s="135"/>
      <c r="I4" s="77"/>
    </row>
    <row r="5" spans="1:27" ht="25.5" customHeight="1" x14ac:dyDescent="0.2">
      <c r="J5" s="9"/>
      <c r="K5" s="9"/>
      <c r="L5" s="9"/>
      <c r="M5" s="9"/>
    </row>
    <row r="6" spans="1:27" ht="23.25" x14ac:dyDescent="0.35">
      <c r="A6" s="130" t="s">
        <v>19</v>
      </c>
      <c r="B6" s="130"/>
      <c r="C6" s="130"/>
      <c r="D6" s="130"/>
      <c r="E6" s="130"/>
      <c r="F6" s="130"/>
      <c r="G6" s="130"/>
      <c r="H6" s="130"/>
      <c r="K6" s="10"/>
    </row>
    <row r="7" spans="1:27" ht="12" customHeight="1" x14ac:dyDescent="0.35">
      <c r="A7" s="52"/>
      <c r="B7" s="52"/>
      <c r="C7" s="52"/>
      <c r="D7" s="52"/>
      <c r="E7" s="52"/>
      <c r="F7" s="52"/>
      <c r="G7" s="52"/>
      <c r="H7" s="52"/>
      <c r="K7" s="10"/>
    </row>
    <row r="8" spans="1:27" ht="12.75" customHeight="1" x14ac:dyDescent="0.2">
      <c r="A8" s="127" t="s">
        <v>42</v>
      </c>
      <c r="B8" s="127"/>
      <c r="C8" s="127"/>
      <c r="D8" s="127"/>
      <c r="E8" s="127"/>
      <c r="F8" s="127"/>
      <c r="G8" s="127"/>
      <c r="H8" s="127"/>
      <c r="K8" s="10"/>
    </row>
    <row r="9" spans="1:27" ht="12.75" customHeight="1" x14ac:dyDescent="0.2">
      <c r="A9" s="127"/>
      <c r="B9" s="127"/>
      <c r="C9" s="127"/>
      <c r="D9" s="127"/>
      <c r="E9" s="127"/>
      <c r="F9" s="127"/>
      <c r="G9" s="127"/>
      <c r="H9" s="127"/>
      <c r="K9" s="10"/>
    </row>
    <row r="10" spans="1:27" ht="12.75" customHeight="1" x14ac:dyDescent="0.2">
      <c r="A10" s="127"/>
      <c r="B10" s="127"/>
      <c r="C10" s="127"/>
      <c r="D10" s="127"/>
      <c r="E10" s="127"/>
      <c r="F10" s="127"/>
      <c r="G10" s="127"/>
      <c r="H10" s="127"/>
      <c r="K10" s="11"/>
    </row>
    <row r="11" spans="1:27" ht="15" customHeight="1" x14ac:dyDescent="0.35">
      <c r="A11" s="53"/>
      <c r="D11" s="53"/>
      <c r="E11" s="52"/>
      <c r="F11" s="52"/>
      <c r="G11" s="52"/>
      <c r="H11" s="52"/>
      <c r="K11" s="10"/>
    </row>
    <row r="12" spans="1:27" x14ac:dyDescent="0.2">
      <c r="B12" s="54" t="s">
        <v>27</v>
      </c>
      <c r="C12" s="74">
        <v>6348000</v>
      </c>
      <c r="D12" s="55"/>
      <c r="E12" s="54" t="s">
        <v>28</v>
      </c>
      <c r="F12" s="101">
        <v>0.88</v>
      </c>
      <c r="J12" s="43"/>
      <c r="K12" s="8"/>
      <c r="L12" s="8"/>
      <c r="M12" s="8"/>
      <c r="N12" s="8"/>
      <c r="O12" s="8"/>
      <c r="P12" s="8"/>
      <c r="Q12" s="8"/>
      <c r="R12" s="8"/>
      <c r="S12" s="8"/>
      <c r="T12" s="8"/>
      <c r="U12" s="8"/>
      <c r="V12" s="12"/>
      <c r="W12" s="8"/>
      <c r="X12" s="8"/>
      <c r="Y12" s="8"/>
      <c r="Z12" s="8"/>
      <c r="AA12" s="8"/>
    </row>
    <row r="13" spans="1:27" x14ac:dyDescent="0.2">
      <c r="B13" s="128" t="s">
        <v>33</v>
      </c>
      <c r="C13" s="128"/>
      <c r="D13" s="55"/>
      <c r="E13" s="56" t="s">
        <v>29</v>
      </c>
      <c r="F13" s="57">
        <f>+P42/P17</f>
        <v>0.97730053356979363</v>
      </c>
      <c r="G13" s="58"/>
      <c r="J13" s="8"/>
      <c r="K13" s="8"/>
      <c r="L13" s="8"/>
      <c r="M13" s="8"/>
      <c r="N13" s="8"/>
      <c r="O13" s="8"/>
      <c r="P13" s="8"/>
      <c r="Q13" s="8"/>
      <c r="R13" s="8"/>
      <c r="S13" s="8"/>
      <c r="T13" s="8"/>
      <c r="U13" s="8"/>
      <c r="V13" s="12"/>
      <c r="W13" s="8"/>
      <c r="X13" s="8"/>
      <c r="Y13" s="8"/>
      <c r="Z13" s="8"/>
      <c r="AA13" s="8"/>
    </row>
    <row r="14" spans="1:27" x14ac:dyDescent="0.2">
      <c r="B14" s="54" t="s">
        <v>32</v>
      </c>
      <c r="C14" s="59">
        <v>0.03</v>
      </c>
      <c r="D14" s="55"/>
      <c r="E14" s="60" t="s">
        <v>30</v>
      </c>
      <c r="F14" s="61">
        <f>+Q22</f>
        <v>9.438424261838124</v>
      </c>
      <c r="G14" s="62"/>
      <c r="J14" s="8"/>
      <c r="K14" s="8"/>
      <c r="L14" s="8"/>
      <c r="M14" s="8"/>
      <c r="O14" s="8"/>
      <c r="P14" s="8"/>
      <c r="Q14" s="8"/>
      <c r="R14" s="8"/>
      <c r="S14" s="8"/>
      <c r="T14" s="8"/>
      <c r="U14" s="8"/>
      <c r="V14" s="13"/>
      <c r="W14" s="8"/>
      <c r="X14" s="8"/>
      <c r="Y14" s="8"/>
      <c r="Z14" s="8"/>
      <c r="AA14" s="8"/>
    </row>
    <row r="15" spans="1:27" x14ac:dyDescent="0.2">
      <c r="B15" s="54" t="s">
        <v>9</v>
      </c>
      <c r="C15" s="59">
        <v>0.63</v>
      </c>
      <c r="D15" s="55"/>
      <c r="E15" s="94" t="s">
        <v>37</v>
      </c>
      <c r="F15" s="95">
        <f>+XIRR(G22:G34,A22:A34)</f>
        <v>0.99886878728866568</v>
      </c>
      <c r="G15" s="63"/>
      <c r="J15" s="8"/>
      <c r="K15" s="8"/>
      <c r="L15" s="8"/>
      <c r="O15" s="14"/>
      <c r="P15" s="14"/>
      <c r="Q15" s="14"/>
      <c r="R15" s="14"/>
      <c r="S15" s="14"/>
      <c r="T15" s="14"/>
      <c r="U15" s="8"/>
      <c r="V15" s="13"/>
      <c r="W15" s="15"/>
      <c r="X15" s="8"/>
      <c r="Y15" s="8"/>
      <c r="Z15" s="8"/>
      <c r="AA15" s="8"/>
    </row>
    <row r="16" spans="1:27" x14ac:dyDescent="0.2">
      <c r="B16" s="54" t="s">
        <v>10</v>
      </c>
      <c r="C16" s="59">
        <v>0.73</v>
      </c>
      <c r="D16" s="55"/>
      <c r="E16" s="54" t="s">
        <v>31</v>
      </c>
      <c r="F16" s="63">
        <f>+((1+F15)^(1/12)-1)*12</f>
        <v>0.71295773785113692</v>
      </c>
      <c r="J16" s="8"/>
      <c r="K16" s="8"/>
      <c r="L16" s="8"/>
      <c r="O16" s="16"/>
      <c r="P16" s="16"/>
      <c r="Q16" s="16"/>
      <c r="R16" s="16"/>
      <c r="S16" s="16"/>
      <c r="T16" s="16"/>
      <c r="U16" s="8"/>
      <c r="V16" s="13"/>
      <c r="W16" s="15"/>
      <c r="X16" s="8"/>
      <c r="Y16" s="8"/>
      <c r="Z16" s="8"/>
      <c r="AA16" s="8"/>
    </row>
    <row r="17" spans="1:27" x14ac:dyDescent="0.2">
      <c r="B17" s="5" t="s">
        <v>41</v>
      </c>
      <c r="C17" s="76">
        <v>0.68625000000000003</v>
      </c>
      <c r="D17" s="55"/>
      <c r="E17" s="54" t="s">
        <v>32</v>
      </c>
      <c r="F17" s="63">
        <f>+F16-C17</f>
        <v>2.6707737851136892E-2</v>
      </c>
      <c r="J17" s="8"/>
      <c r="K17" s="8"/>
      <c r="L17" s="8"/>
      <c r="M17" s="17"/>
      <c r="N17" s="17"/>
      <c r="O17" s="45" t="s">
        <v>7</v>
      </c>
      <c r="P17" s="46">
        <v>6348000</v>
      </c>
      <c r="Q17" s="17"/>
      <c r="R17" s="17"/>
      <c r="S17" s="17"/>
      <c r="T17" s="17"/>
      <c r="U17" s="17"/>
      <c r="V17" s="17"/>
      <c r="W17" s="17"/>
      <c r="X17" s="17"/>
      <c r="Y17" s="8"/>
      <c r="Z17" s="8"/>
      <c r="AA17" s="8"/>
    </row>
    <row r="18" spans="1:27" x14ac:dyDescent="0.2">
      <c r="D18" s="55"/>
      <c r="H18" s="64"/>
      <c r="J18" s="8"/>
      <c r="K18" s="8"/>
      <c r="L18" s="8"/>
      <c r="O18" s="45" t="s">
        <v>21</v>
      </c>
      <c r="P18" s="47">
        <f>+F12</f>
        <v>0.88</v>
      </c>
      <c r="Q18" s="16"/>
      <c r="R18" s="16"/>
      <c r="S18" s="16"/>
      <c r="T18" s="16"/>
      <c r="U18" s="8"/>
      <c r="V18" s="13"/>
      <c r="W18" s="15"/>
      <c r="X18" s="8"/>
      <c r="Y18" s="8"/>
      <c r="Z18" s="8"/>
      <c r="AA18" s="8"/>
    </row>
    <row r="19" spans="1:27" x14ac:dyDescent="0.2">
      <c r="C19" s="54"/>
      <c r="D19" s="65"/>
      <c r="E19" s="55"/>
      <c r="F19" s="54"/>
      <c r="G19" s="63"/>
      <c r="H19" s="66"/>
      <c r="T19" s="18"/>
      <c r="U19" s="8"/>
      <c r="V19" s="8"/>
      <c r="W19" s="8"/>
      <c r="X19" s="8"/>
      <c r="Y19" s="8"/>
      <c r="Z19" s="8"/>
      <c r="AA19" s="8"/>
    </row>
    <row r="20" spans="1:27" x14ac:dyDescent="0.2">
      <c r="A20" s="136" t="s">
        <v>40</v>
      </c>
      <c r="B20" s="136"/>
      <c r="C20" s="136"/>
      <c r="D20" s="136"/>
      <c r="E20" s="136"/>
      <c r="F20" s="136"/>
      <c r="G20" s="136"/>
      <c r="H20" s="136"/>
      <c r="I20" s="67"/>
      <c r="J20" s="8"/>
      <c r="K20" s="8"/>
      <c r="L20" s="120" t="s">
        <v>23</v>
      </c>
      <c r="M20" s="121"/>
      <c r="N20" s="122"/>
      <c r="O20" s="16"/>
      <c r="P20" s="16"/>
      <c r="Q20" s="16"/>
      <c r="R20" s="16"/>
      <c r="S20" s="16"/>
      <c r="T20" s="16"/>
      <c r="U20" s="8"/>
      <c r="V20" s="8"/>
      <c r="W20" s="8"/>
      <c r="X20" s="8"/>
      <c r="Y20" s="8"/>
      <c r="Z20" s="8"/>
      <c r="AA20" s="8"/>
    </row>
    <row r="21" spans="1:27" ht="38.25" x14ac:dyDescent="0.2">
      <c r="A21" s="137" t="s">
        <v>0</v>
      </c>
      <c r="B21" s="137" t="s">
        <v>34</v>
      </c>
      <c r="C21" s="137" t="s">
        <v>14</v>
      </c>
      <c r="D21" s="137" t="s">
        <v>5</v>
      </c>
      <c r="E21" s="137" t="s">
        <v>1</v>
      </c>
      <c r="F21" s="137" t="s">
        <v>2</v>
      </c>
      <c r="G21" s="137" t="s">
        <v>3</v>
      </c>
      <c r="H21" s="137" t="s">
        <v>6</v>
      </c>
      <c r="J21" s="19" t="s">
        <v>0</v>
      </c>
      <c r="K21" s="20" t="s">
        <v>11</v>
      </c>
      <c r="L21" s="21" t="s">
        <v>24</v>
      </c>
      <c r="M21" s="21" t="s">
        <v>22</v>
      </c>
      <c r="N21" s="19" t="s">
        <v>13</v>
      </c>
      <c r="O21" s="20" t="s">
        <v>17</v>
      </c>
      <c r="P21" s="20" t="s">
        <v>18</v>
      </c>
      <c r="Q21" s="20" t="s">
        <v>4</v>
      </c>
      <c r="R21" s="16"/>
      <c r="S21" s="16"/>
      <c r="T21" s="16"/>
      <c r="U21" s="8"/>
      <c r="V21" s="8"/>
      <c r="W21" s="8"/>
      <c r="X21" s="8"/>
      <c r="Y21" s="8"/>
      <c r="Z21" s="8"/>
      <c r="AA21" s="8"/>
    </row>
    <row r="22" spans="1:27" x14ac:dyDescent="0.2">
      <c r="A22" s="143">
        <v>44848</v>
      </c>
      <c r="B22" s="205"/>
      <c r="C22" s="86"/>
      <c r="D22" s="87"/>
      <c r="E22" s="81"/>
      <c r="F22" s="82"/>
      <c r="G22" s="78">
        <f>-F13*C12</f>
        <v>-6203903.7871010499</v>
      </c>
      <c r="H22" s="78">
        <f>+C12</f>
        <v>6348000</v>
      </c>
      <c r="J22" s="22">
        <v>44789</v>
      </c>
      <c r="K22" s="92"/>
      <c r="L22" s="48"/>
      <c r="M22" s="23"/>
      <c r="N22" s="23"/>
      <c r="O22" s="24">
        <v>0</v>
      </c>
      <c r="P22" s="25">
        <f>+SUM(P23:P34)</f>
        <v>6203903.8000226105</v>
      </c>
      <c r="Q22" s="26">
        <f>+SUM(Q23:Q34)</f>
        <v>9.438424261838124</v>
      </c>
      <c r="R22" s="16"/>
      <c r="S22" s="16"/>
      <c r="T22" s="16"/>
      <c r="U22" s="8"/>
      <c r="V22" s="8"/>
      <c r="W22" s="8"/>
      <c r="X22" s="8"/>
      <c r="Y22" s="8"/>
      <c r="Z22" s="8"/>
      <c r="AA22" s="8"/>
    </row>
    <row r="23" spans="1:27" x14ac:dyDescent="0.2">
      <c r="A23" s="144">
        <v>44865</v>
      </c>
      <c r="B23" s="69">
        <f>+AVERAGE('Tasa BADLAR'!B2:B31)/100</f>
        <v>0.66379166666666667</v>
      </c>
      <c r="C23" s="73">
        <f t="shared" ref="C23:C34" si="0">IF(B23+$C$14&lt;$C$15,$C$15,IF(B23+$C$14&gt;$C$16,$C$16,B23+$C$14))</f>
        <v>0.6937916666666667</v>
      </c>
      <c r="D23" s="88">
        <v>0</v>
      </c>
      <c r="E23" s="102">
        <f t="shared" ref="E23:E31" si="1">+IF(K23&gt;F23,MIN(K23-F23,H22),0)</f>
        <v>0</v>
      </c>
      <c r="F23" s="83">
        <f>+MIN($K23,N22+M23)</f>
        <v>0</v>
      </c>
      <c r="G23" s="79">
        <f>+E23+F23</f>
        <v>0</v>
      </c>
      <c r="H23" s="79">
        <f>+H22-E23</f>
        <v>6348000</v>
      </c>
      <c r="J23" s="27">
        <v>44854</v>
      </c>
      <c r="K23" s="35">
        <v>0</v>
      </c>
      <c r="L23" s="49">
        <f>+J23-J22</f>
        <v>65</v>
      </c>
      <c r="M23" s="28">
        <f>+H22*(C23)/365*L23</f>
        <v>784307.71917808219</v>
      </c>
      <c r="N23" s="28">
        <f>+N22+M23-F23</f>
        <v>784307.71917808219</v>
      </c>
      <c r="O23" s="28">
        <f>+G23</f>
        <v>0</v>
      </c>
      <c r="P23" s="28">
        <f>+O23/(1+$F$15)^((A23-$A$22)/365)</f>
        <v>0</v>
      </c>
      <c r="Q23" s="29">
        <f t="shared" ref="Q23:Q34" si="2">+P23*((A23-$A$22)/(30.4166666666667))/$P$22</f>
        <v>0</v>
      </c>
      <c r="R23" s="16"/>
      <c r="S23" s="16"/>
      <c r="T23" s="16"/>
      <c r="U23" s="30"/>
      <c r="V23" s="8"/>
      <c r="W23" s="8"/>
      <c r="X23" s="8"/>
      <c r="Y23" s="8"/>
      <c r="Z23" s="8"/>
      <c r="AA23" s="8"/>
    </row>
    <row r="24" spans="1:27" x14ac:dyDescent="0.2">
      <c r="A24" s="144">
        <v>44885</v>
      </c>
      <c r="B24" s="75">
        <f>+C17</f>
        <v>0.68625000000000003</v>
      </c>
      <c r="C24" s="85">
        <f t="shared" si="0"/>
        <v>0.71625000000000005</v>
      </c>
      <c r="D24" s="89">
        <v>0</v>
      </c>
      <c r="E24" s="102">
        <f t="shared" si="1"/>
        <v>0</v>
      </c>
      <c r="F24" s="83">
        <f t="shared" ref="F24:F31" si="3">+MIN($K24,N23+M24)</f>
        <v>0</v>
      </c>
      <c r="G24" s="80">
        <f t="shared" ref="G24:G34" si="4">+E24+F24</f>
        <v>0</v>
      </c>
      <c r="H24" s="80">
        <f t="shared" ref="H24:H34" si="5">+H23-E24</f>
        <v>6348000</v>
      </c>
      <c r="J24" s="27">
        <f t="shared" ref="J24:J34" si="6">+A24</f>
        <v>44885</v>
      </c>
      <c r="K24" s="35">
        <v>0</v>
      </c>
      <c r="L24" s="49">
        <f t="shared" ref="L24:L34" si="7">+J24-J23</f>
        <v>31</v>
      </c>
      <c r="M24" s="28">
        <f t="shared" ref="M24:M34" si="8">+H23*(C24)/365*L24</f>
        <v>386162.75342465757</v>
      </c>
      <c r="N24" s="28">
        <f t="shared" ref="N24:N34" si="9">+N23+M24-F24</f>
        <v>1170470.4726027397</v>
      </c>
      <c r="O24" s="28">
        <f t="shared" ref="O24:O31" si="10">+G24</f>
        <v>0</v>
      </c>
      <c r="P24" s="28">
        <f>+O24/(1+$F$15)^((A24-$A$22)/365)</f>
        <v>0</v>
      </c>
      <c r="Q24" s="29">
        <f t="shared" si="2"/>
        <v>0</v>
      </c>
      <c r="R24" s="16"/>
      <c r="S24" s="16"/>
      <c r="T24" s="16"/>
      <c r="U24" s="30"/>
      <c r="V24" s="8"/>
      <c r="W24" s="8"/>
      <c r="X24" s="8"/>
      <c r="Y24" s="8"/>
      <c r="Z24" s="8"/>
      <c r="AA24" s="8"/>
    </row>
    <row r="25" spans="1:27" x14ac:dyDescent="0.2">
      <c r="A25" s="144">
        <v>44915</v>
      </c>
      <c r="B25" s="75">
        <f t="shared" ref="B25:B34" si="11">+B24</f>
        <v>0.68625000000000003</v>
      </c>
      <c r="C25" s="85">
        <f t="shared" si="0"/>
        <v>0.71625000000000005</v>
      </c>
      <c r="D25" s="89">
        <v>0</v>
      </c>
      <c r="E25" s="102">
        <f t="shared" si="1"/>
        <v>0</v>
      </c>
      <c r="F25" s="83">
        <f t="shared" si="3"/>
        <v>0</v>
      </c>
      <c r="G25" s="80">
        <f t="shared" si="4"/>
        <v>0</v>
      </c>
      <c r="H25" s="80">
        <f t="shared" si="5"/>
        <v>6348000</v>
      </c>
      <c r="J25" s="27">
        <f t="shared" si="6"/>
        <v>44915</v>
      </c>
      <c r="K25" s="35">
        <v>0</v>
      </c>
      <c r="L25" s="49">
        <f t="shared" si="7"/>
        <v>30</v>
      </c>
      <c r="M25" s="28">
        <f t="shared" si="8"/>
        <v>373705.89041095891</v>
      </c>
      <c r="N25" s="28">
        <f t="shared" si="9"/>
        <v>1544176.3630136987</v>
      </c>
      <c r="O25" s="28">
        <f t="shared" si="10"/>
        <v>0</v>
      </c>
      <c r="P25" s="28">
        <f t="shared" ref="P25:P33" si="12">+O25/(1+$F$15)^((A25-$A$22)/365)</f>
        <v>0</v>
      </c>
      <c r="Q25" s="29">
        <f t="shared" si="2"/>
        <v>0</v>
      </c>
      <c r="R25" s="16"/>
      <c r="S25" s="16"/>
      <c r="T25" s="16"/>
      <c r="U25" s="30"/>
      <c r="V25" s="8"/>
      <c r="W25" s="8"/>
      <c r="X25" s="8"/>
      <c r="Y25" s="8"/>
      <c r="Z25" s="8"/>
      <c r="AA25" s="8"/>
    </row>
    <row r="26" spans="1:27" x14ac:dyDescent="0.2">
      <c r="A26" s="144">
        <v>44946</v>
      </c>
      <c r="B26" s="75">
        <f t="shared" si="11"/>
        <v>0.68625000000000003</v>
      </c>
      <c r="C26" s="85">
        <f t="shared" si="0"/>
        <v>0.71625000000000005</v>
      </c>
      <c r="D26" s="89">
        <v>0</v>
      </c>
      <c r="E26" s="102">
        <f t="shared" si="1"/>
        <v>0</v>
      </c>
      <c r="F26" s="83">
        <f t="shared" si="3"/>
        <v>0</v>
      </c>
      <c r="G26" s="80">
        <f t="shared" si="4"/>
        <v>0</v>
      </c>
      <c r="H26" s="80">
        <f t="shared" si="5"/>
        <v>6348000</v>
      </c>
      <c r="J26" s="27">
        <f t="shared" si="6"/>
        <v>44946</v>
      </c>
      <c r="K26" s="35">
        <v>0</v>
      </c>
      <c r="L26" s="49">
        <f t="shared" si="7"/>
        <v>31</v>
      </c>
      <c r="M26" s="28">
        <f t="shared" si="8"/>
        <v>386162.75342465757</v>
      </c>
      <c r="N26" s="28">
        <f t="shared" si="9"/>
        <v>1930339.1164383562</v>
      </c>
      <c r="O26" s="28">
        <f t="shared" si="10"/>
        <v>0</v>
      </c>
      <c r="P26" s="28">
        <f t="shared" si="12"/>
        <v>0</v>
      </c>
      <c r="Q26" s="29">
        <f t="shared" si="2"/>
        <v>0</v>
      </c>
      <c r="R26" s="16"/>
      <c r="S26" s="16"/>
      <c r="T26" s="16"/>
      <c r="U26" s="30"/>
      <c r="V26" s="8"/>
      <c r="W26" s="8"/>
      <c r="X26" s="8"/>
      <c r="Y26" s="8"/>
      <c r="Z26" s="8"/>
      <c r="AA26" s="8"/>
    </row>
    <row r="27" spans="1:27" x14ac:dyDescent="0.2">
      <c r="A27" s="144">
        <v>44977</v>
      </c>
      <c r="B27" s="75">
        <f t="shared" si="11"/>
        <v>0.68625000000000003</v>
      </c>
      <c r="C27" s="85">
        <f t="shared" si="0"/>
        <v>0.71625000000000005</v>
      </c>
      <c r="D27" s="89">
        <v>0</v>
      </c>
      <c r="E27" s="102">
        <f t="shared" si="1"/>
        <v>0</v>
      </c>
      <c r="F27" s="83">
        <f t="shared" si="3"/>
        <v>0</v>
      </c>
      <c r="G27" s="80">
        <f t="shared" si="4"/>
        <v>0</v>
      </c>
      <c r="H27" s="80">
        <f t="shared" si="5"/>
        <v>6348000</v>
      </c>
      <c r="J27" s="27">
        <f t="shared" si="6"/>
        <v>44977</v>
      </c>
      <c r="K27" s="35">
        <v>0</v>
      </c>
      <c r="L27" s="49">
        <f t="shared" si="7"/>
        <v>31</v>
      </c>
      <c r="M27" s="28">
        <f t="shared" si="8"/>
        <v>386162.75342465757</v>
      </c>
      <c r="N27" s="28">
        <f t="shared" si="9"/>
        <v>2316501.8698630137</v>
      </c>
      <c r="O27" s="28">
        <f t="shared" si="10"/>
        <v>0</v>
      </c>
      <c r="P27" s="28">
        <f t="shared" si="12"/>
        <v>0</v>
      </c>
      <c r="Q27" s="29">
        <f t="shared" si="2"/>
        <v>0</v>
      </c>
      <c r="R27" s="16"/>
      <c r="S27" s="16"/>
      <c r="T27" s="16"/>
      <c r="U27" s="30"/>
      <c r="V27" s="8"/>
      <c r="W27" s="8"/>
      <c r="X27" s="8"/>
      <c r="Y27" s="8"/>
      <c r="Z27" s="8"/>
      <c r="AA27" s="8"/>
    </row>
    <row r="28" spans="1:27" x14ac:dyDescent="0.2">
      <c r="A28" s="144">
        <v>45005</v>
      </c>
      <c r="B28" s="75">
        <f t="shared" si="11"/>
        <v>0.68625000000000003</v>
      </c>
      <c r="C28" s="85">
        <f t="shared" si="0"/>
        <v>0.71625000000000005</v>
      </c>
      <c r="D28" s="89">
        <v>0</v>
      </c>
      <c r="E28" s="102">
        <f t="shared" si="1"/>
        <v>0</v>
      </c>
      <c r="F28" s="83">
        <f t="shared" si="3"/>
        <v>0</v>
      </c>
      <c r="G28" s="80">
        <f>+E28+F28</f>
        <v>0</v>
      </c>
      <c r="H28" s="80">
        <f t="shared" si="5"/>
        <v>6348000</v>
      </c>
      <c r="J28" s="27">
        <f t="shared" si="6"/>
        <v>45005</v>
      </c>
      <c r="K28" s="35">
        <v>0</v>
      </c>
      <c r="L28" s="49">
        <f t="shared" si="7"/>
        <v>28</v>
      </c>
      <c r="M28" s="28">
        <f t="shared" si="8"/>
        <v>348792.16438356164</v>
      </c>
      <c r="N28" s="28">
        <f t="shared" si="9"/>
        <v>2665294.0342465756</v>
      </c>
      <c r="O28" s="28">
        <f t="shared" si="10"/>
        <v>0</v>
      </c>
      <c r="P28" s="28">
        <f t="shared" si="12"/>
        <v>0</v>
      </c>
      <c r="Q28" s="29">
        <f t="shared" si="2"/>
        <v>0</v>
      </c>
      <c r="R28" s="16"/>
      <c r="S28" s="16"/>
      <c r="T28" s="16"/>
      <c r="U28" s="30"/>
      <c r="V28" s="8"/>
      <c r="W28" s="8"/>
      <c r="X28" s="8"/>
      <c r="Y28" s="8"/>
      <c r="Z28" s="8"/>
      <c r="AA28" s="8"/>
    </row>
    <row r="29" spans="1:27" x14ac:dyDescent="0.2">
      <c r="A29" s="144">
        <v>45036</v>
      </c>
      <c r="B29" s="75">
        <f t="shared" si="11"/>
        <v>0.68625000000000003</v>
      </c>
      <c r="C29" s="85">
        <f t="shared" si="0"/>
        <v>0.71625000000000005</v>
      </c>
      <c r="D29" s="89">
        <v>0</v>
      </c>
      <c r="E29" s="102">
        <f t="shared" si="1"/>
        <v>0</v>
      </c>
      <c r="F29" s="83">
        <f t="shared" si="3"/>
        <v>0</v>
      </c>
      <c r="G29" s="80">
        <f t="shared" si="4"/>
        <v>0</v>
      </c>
      <c r="H29" s="80">
        <f t="shared" si="5"/>
        <v>6348000</v>
      </c>
      <c r="J29" s="27">
        <f t="shared" si="6"/>
        <v>45036</v>
      </c>
      <c r="K29" s="35">
        <v>0</v>
      </c>
      <c r="L29" s="49">
        <f t="shared" si="7"/>
        <v>31</v>
      </c>
      <c r="M29" s="28">
        <f t="shared" si="8"/>
        <v>386162.75342465757</v>
      </c>
      <c r="N29" s="28">
        <f t="shared" si="9"/>
        <v>3051456.7876712331</v>
      </c>
      <c r="O29" s="28">
        <f t="shared" si="10"/>
        <v>0</v>
      </c>
      <c r="P29" s="28">
        <f t="shared" si="12"/>
        <v>0</v>
      </c>
      <c r="Q29" s="29">
        <f t="shared" si="2"/>
        <v>0</v>
      </c>
      <c r="R29" s="16"/>
      <c r="S29" s="16"/>
      <c r="T29" s="16"/>
      <c r="U29" s="30"/>
      <c r="V29" s="8"/>
      <c r="W29" s="8"/>
      <c r="X29" s="8"/>
      <c r="Y29" s="8"/>
      <c r="Z29" s="8"/>
      <c r="AA29" s="8"/>
    </row>
    <row r="30" spans="1:27" x14ac:dyDescent="0.2">
      <c r="A30" s="144">
        <v>45066</v>
      </c>
      <c r="B30" s="75">
        <f t="shared" si="11"/>
        <v>0.68625000000000003</v>
      </c>
      <c r="C30" s="85">
        <f t="shared" si="0"/>
        <v>0.71625000000000005</v>
      </c>
      <c r="D30" s="89">
        <v>0</v>
      </c>
      <c r="E30" s="102">
        <f t="shared" si="1"/>
        <v>0</v>
      </c>
      <c r="F30" s="83">
        <f t="shared" si="3"/>
        <v>0</v>
      </c>
      <c r="G30" s="80">
        <f t="shared" si="4"/>
        <v>0</v>
      </c>
      <c r="H30" s="80">
        <f t="shared" si="5"/>
        <v>6348000</v>
      </c>
      <c r="J30" s="27">
        <f t="shared" si="6"/>
        <v>45066</v>
      </c>
      <c r="K30" s="35">
        <v>0</v>
      </c>
      <c r="L30" s="49">
        <f t="shared" si="7"/>
        <v>30</v>
      </c>
      <c r="M30" s="28">
        <f t="shared" si="8"/>
        <v>373705.89041095891</v>
      </c>
      <c r="N30" s="28">
        <f t="shared" si="9"/>
        <v>3425162.6780821919</v>
      </c>
      <c r="O30" s="28">
        <f t="shared" si="10"/>
        <v>0</v>
      </c>
      <c r="P30" s="28">
        <f t="shared" si="12"/>
        <v>0</v>
      </c>
      <c r="Q30" s="29">
        <f t="shared" si="2"/>
        <v>0</v>
      </c>
      <c r="R30" s="16"/>
      <c r="S30" s="16"/>
      <c r="T30" s="16"/>
      <c r="U30" s="30"/>
      <c r="V30" s="8"/>
      <c r="W30" s="8"/>
      <c r="X30" s="8"/>
      <c r="Y30" s="8"/>
      <c r="Z30" s="8"/>
      <c r="AA30" s="8"/>
    </row>
    <row r="31" spans="1:27" x14ac:dyDescent="0.2">
      <c r="A31" s="144">
        <v>45097</v>
      </c>
      <c r="B31" s="75">
        <f t="shared" si="11"/>
        <v>0.68625000000000003</v>
      </c>
      <c r="C31" s="85">
        <f t="shared" si="0"/>
        <v>0.71625000000000005</v>
      </c>
      <c r="D31" s="89">
        <v>0</v>
      </c>
      <c r="E31" s="102">
        <f t="shared" si="1"/>
        <v>0</v>
      </c>
      <c r="F31" s="83">
        <f t="shared" si="3"/>
        <v>0</v>
      </c>
      <c r="G31" s="80">
        <f t="shared" si="4"/>
        <v>0</v>
      </c>
      <c r="H31" s="80">
        <f t="shared" si="5"/>
        <v>6348000</v>
      </c>
      <c r="J31" s="27">
        <f t="shared" si="6"/>
        <v>45097</v>
      </c>
      <c r="K31" s="35">
        <v>0</v>
      </c>
      <c r="L31" s="49">
        <f t="shared" si="7"/>
        <v>31</v>
      </c>
      <c r="M31" s="28">
        <f t="shared" si="8"/>
        <v>386162.75342465757</v>
      </c>
      <c r="N31" s="28">
        <f t="shared" si="9"/>
        <v>3811325.4315068494</v>
      </c>
      <c r="O31" s="28">
        <f t="shared" si="10"/>
        <v>0</v>
      </c>
      <c r="P31" s="28">
        <f t="shared" si="12"/>
        <v>0</v>
      </c>
      <c r="Q31" s="29">
        <f t="shared" si="2"/>
        <v>0</v>
      </c>
      <c r="R31" s="16"/>
      <c r="S31" s="16"/>
      <c r="T31" s="16"/>
      <c r="U31" s="30"/>
      <c r="V31" s="8"/>
      <c r="W31" s="8"/>
      <c r="X31" s="8"/>
      <c r="Y31" s="8"/>
      <c r="Z31" s="8"/>
      <c r="AA31" s="8"/>
    </row>
    <row r="32" spans="1:27" x14ac:dyDescent="0.2">
      <c r="A32" s="144">
        <v>45127</v>
      </c>
      <c r="B32" s="75">
        <f t="shared" si="11"/>
        <v>0.68625000000000003</v>
      </c>
      <c r="C32" s="85">
        <f t="shared" si="0"/>
        <v>0.71625000000000005</v>
      </c>
      <c r="D32" s="89">
        <f>+E32/$C$12</f>
        <v>0.56730473929262892</v>
      </c>
      <c r="E32" s="102">
        <f>+IF(K32&gt;F32,MIN(K32-F32,H31),0)</f>
        <v>3601250.4850296085</v>
      </c>
      <c r="F32" s="83">
        <f>+MIN($K32,N31+M32)</f>
        <v>4185031.3219178081</v>
      </c>
      <c r="G32" s="80">
        <f t="shared" si="4"/>
        <v>7786281.8069474166</v>
      </c>
      <c r="H32" s="80">
        <f t="shared" si="5"/>
        <v>2746749.5149703915</v>
      </c>
      <c r="J32" s="27">
        <f t="shared" si="6"/>
        <v>45127</v>
      </c>
      <c r="K32" s="35">
        <f>(10428210.8877036-'VDF A'!G32)*$C$12/P17</f>
        <v>7786281.8069474166</v>
      </c>
      <c r="L32" s="49">
        <f t="shared" si="7"/>
        <v>30</v>
      </c>
      <c r="M32" s="28">
        <f t="shared" si="8"/>
        <v>373705.89041095891</v>
      </c>
      <c r="N32" s="28">
        <f t="shared" si="9"/>
        <v>0</v>
      </c>
      <c r="O32" s="28">
        <f>+G32</f>
        <v>7786281.8069474166</v>
      </c>
      <c r="P32" s="28">
        <f t="shared" si="12"/>
        <v>4585804.6866541468</v>
      </c>
      <c r="Q32" s="29">
        <f t="shared" si="2"/>
        <v>6.7802090407170619</v>
      </c>
      <c r="R32" s="16"/>
      <c r="S32" s="16"/>
      <c r="T32" s="16"/>
      <c r="U32" s="30"/>
      <c r="V32" s="8"/>
      <c r="W32" s="8"/>
      <c r="X32" s="8"/>
      <c r="Y32" s="8"/>
      <c r="Z32" s="8"/>
      <c r="AA32" s="8"/>
    </row>
    <row r="33" spans="1:27" x14ac:dyDescent="0.2">
      <c r="A33" s="144">
        <v>45158</v>
      </c>
      <c r="B33" s="75">
        <f t="shared" si="11"/>
        <v>0.68625000000000003</v>
      </c>
      <c r="C33" s="85">
        <f t="shared" si="0"/>
        <v>0.71625000000000005</v>
      </c>
      <c r="D33" s="89">
        <f>+E33/$C$12</f>
        <v>0.43269526070737108</v>
      </c>
      <c r="E33" s="102">
        <f>+IF(K33&gt;F33,MIN(K33-F33,H32),0)</f>
        <v>2746749.5149703915</v>
      </c>
      <c r="F33" s="83">
        <f>+MIN($K33,N32+M33)</f>
        <v>167090.79326855845</v>
      </c>
      <c r="G33" s="80">
        <f t="shared" si="4"/>
        <v>2913840.3082389501</v>
      </c>
      <c r="H33" s="80">
        <f t="shared" si="5"/>
        <v>0</v>
      </c>
      <c r="I33" s="55"/>
      <c r="J33" s="27">
        <f t="shared" si="6"/>
        <v>45158</v>
      </c>
      <c r="K33" s="35">
        <f>7688941.73256113*C12/P17</f>
        <v>7688941.7325611301</v>
      </c>
      <c r="L33" s="49">
        <f t="shared" si="7"/>
        <v>31</v>
      </c>
      <c r="M33" s="28">
        <f t="shared" si="8"/>
        <v>167090.79326855845</v>
      </c>
      <c r="N33" s="28">
        <f t="shared" si="9"/>
        <v>0</v>
      </c>
      <c r="O33" s="28">
        <f>+G33</f>
        <v>2913840.3082389501</v>
      </c>
      <c r="P33" s="28">
        <f t="shared" si="12"/>
        <v>1618099.1133684639</v>
      </c>
      <c r="Q33" s="29">
        <f t="shared" si="2"/>
        <v>2.6582152211210621</v>
      </c>
      <c r="R33" s="16"/>
      <c r="S33" s="16"/>
      <c r="T33" s="16"/>
      <c r="U33" s="30"/>
      <c r="V33" s="36"/>
      <c r="W33" s="8"/>
      <c r="X33" s="8"/>
      <c r="Y33" s="8"/>
      <c r="Z33" s="8"/>
      <c r="AA33" s="8"/>
    </row>
    <row r="34" spans="1:27" x14ac:dyDescent="0.2">
      <c r="A34" s="145">
        <v>45189</v>
      </c>
      <c r="B34" s="75">
        <f t="shared" si="11"/>
        <v>0.68625000000000003</v>
      </c>
      <c r="C34" s="85">
        <f t="shared" si="0"/>
        <v>0.71625000000000005</v>
      </c>
      <c r="D34" s="90">
        <f>+E34/$C$12</f>
        <v>0</v>
      </c>
      <c r="E34" s="103">
        <f>+IF(K34&gt;F34,MIN(K34-F34,H33),0)</f>
        <v>0</v>
      </c>
      <c r="F34" s="84">
        <f>+MIN($K34,N33+M34)</f>
        <v>0</v>
      </c>
      <c r="G34" s="84">
        <f t="shared" si="4"/>
        <v>0</v>
      </c>
      <c r="H34" s="84">
        <f t="shared" si="5"/>
        <v>0</v>
      </c>
      <c r="I34" s="55"/>
      <c r="J34" s="31">
        <f t="shared" si="6"/>
        <v>45189</v>
      </c>
      <c r="K34" s="44">
        <f>5296932.02962757*C12/P17</f>
        <v>5296932.02962757</v>
      </c>
      <c r="L34" s="50">
        <f t="shared" si="7"/>
        <v>31</v>
      </c>
      <c r="M34" s="32">
        <f t="shared" si="8"/>
        <v>0</v>
      </c>
      <c r="N34" s="32">
        <f t="shared" si="9"/>
        <v>0</v>
      </c>
      <c r="O34" s="32">
        <f>+G34</f>
        <v>0</v>
      </c>
      <c r="P34" s="32">
        <f>+O34/(1+$F$15)^((A34-$A$22)/365)</f>
        <v>0</v>
      </c>
      <c r="Q34" s="33">
        <f t="shared" si="2"/>
        <v>0</v>
      </c>
      <c r="R34" s="16"/>
      <c r="S34" s="16"/>
      <c r="T34" s="16"/>
      <c r="U34" s="8"/>
      <c r="V34" s="37"/>
      <c r="W34" s="8"/>
      <c r="X34" s="8"/>
      <c r="Y34" s="8"/>
      <c r="Z34" s="8"/>
      <c r="AA34" s="8"/>
    </row>
    <row r="35" spans="1:27" x14ac:dyDescent="0.2">
      <c r="A35" s="206"/>
      <c r="B35" s="138"/>
      <c r="C35" s="139"/>
      <c r="D35" s="207">
        <f>SUM(D23:D34)</f>
        <v>1</v>
      </c>
      <c r="E35" s="208">
        <f>SUM(E22:E34)</f>
        <v>6348000</v>
      </c>
      <c r="F35" s="209">
        <f>SUM(F22:F34)</f>
        <v>4352122.1151863663</v>
      </c>
      <c r="G35" s="208">
        <f>SUM(G23:G34)</f>
        <v>10700122.115186367</v>
      </c>
      <c r="H35" s="210"/>
      <c r="I35" s="55"/>
      <c r="J35" s="34"/>
      <c r="K35" s="91" t="s">
        <v>25</v>
      </c>
      <c r="L35" s="34"/>
      <c r="M35" s="34"/>
      <c r="N35" s="8"/>
      <c r="O35" s="16"/>
      <c r="P35" s="16"/>
      <c r="Q35" s="16"/>
      <c r="R35" s="16"/>
      <c r="S35" s="16"/>
      <c r="T35" s="16"/>
      <c r="U35" s="8"/>
      <c r="V35" s="8"/>
      <c r="W35" s="8"/>
      <c r="X35" s="8"/>
      <c r="Y35" s="8"/>
      <c r="Z35" s="8"/>
      <c r="AA35" s="8"/>
    </row>
    <row r="36" spans="1:27" x14ac:dyDescent="0.2">
      <c r="A36" s="129"/>
      <c r="B36" s="129"/>
      <c r="D36" s="70"/>
      <c r="E36" s="71"/>
      <c r="F36" s="71"/>
      <c r="G36" s="71"/>
      <c r="H36" s="72"/>
      <c r="I36" s="55"/>
      <c r="J36" s="34"/>
      <c r="K36" s="34"/>
      <c r="L36" s="34"/>
      <c r="M36" s="34"/>
      <c r="N36" s="8"/>
      <c r="O36" s="16"/>
      <c r="P36" s="16"/>
      <c r="Q36" s="16"/>
      <c r="R36" s="16"/>
      <c r="S36" s="16"/>
      <c r="T36" s="16"/>
      <c r="U36" s="8"/>
      <c r="V36" s="8"/>
      <c r="W36" s="8"/>
      <c r="X36" s="8"/>
      <c r="Y36" s="8"/>
      <c r="Z36" s="8"/>
      <c r="AA36" s="8"/>
    </row>
    <row r="37" spans="1:27" x14ac:dyDescent="0.2">
      <c r="J37" s="38"/>
      <c r="K37" s="39"/>
      <c r="L37" s="39"/>
      <c r="M37" s="39"/>
      <c r="N37" s="40"/>
    </row>
    <row r="38" spans="1:27" x14ac:dyDescent="0.2">
      <c r="J38" s="38"/>
      <c r="K38" s="39"/>
      <c r="L38" s="39"/>
      <c r="M38" s="39"/>
      <c r="N38" s="40"/>
    </row>
    <row r="39" spans="1:27" x14ac:dyDescent="0.2">
      <c r="J39" s="38"/>
      <c r="K39" s="39"/>
      <c r="L39" s="39"/>
      <c r="M39" s="39"/>
      <c r="N39" s="40"/>
    </row>
    <row r="40" spans="1:27" x14ac:dyDescent="0.2">
      <c r="A40" s="136" t="s">
        <v>39</v>
      </c>
      <c r="B40" s="136"/>
      <c r="C40" s="136"/>
      <c r="D40" s="136"/>
      <c r="E40" s="136"/>
      <c r="F40" s="136"/>
      <c r="G40" s="136"/>
      <c r="H40" s="136"/>
      <c r="J40" s="8"/>
      <c r="K40" s="8"/>
      <c r="L40" s="120" t="s">
        <v>23</v>
      </c>
      <c r="M40" s="121"/>
      <c r="N40" s="122"/>
      <c r="O40" s="16"/>
      <c r="P40" s="16"/>
      <c r="Q40" s="16"/>
    </row>
    <row r="41" spans="1:27" ht="38.25" x14ac:dyDescent="0.2">
      <c r="A41" s="137" t="s">
        <v>0</v>
      </c>
      <c r="B41" s="146" t="s">
        <v>38</v>
      </c>
      <c r="C41" s="147"/>
      <c r="D41" s="137" t="s">
        <v>5</v>
      </c>
      <c r="E41" s="137" t="s">
        <v>1</v>
      </c>
      <c r="F41" s="137" t="s">
        <v>2</v>
      </c>
      <c r="G41" s="137" t="s">
        <v>3</v>
      </c>
      <c r="H41" s="137" t="s">
        <v>6</v>
      </c>
      <c r="J41" s="19" t="s">
        <v>0</v>
      </c>
      <c r="K41" s="20" t="s">
        <v>11</v>
      </c>
      <c r="L41" s="21" t="s">
        <v>24</v>
      </c>
      <c r="M41" s="21" t="s">
        <v>22</v>
      </c>
      <c r="N41" s="19" t="s">
        <v>13</v>
      </c>
      <c r="O41" s="20" t="s">
        <v>17</v>
      </c>
      <c r="P41" s="20" t="s">
        <v>18</v>
      </c>
      <c r="Q41" s="20" t="s">
        <v>4</v>
      </c>
    </row>
    <row r="42" spans="1:27" x14ac:dyDescent="0.2">
      <c r="A42" s="143">
        <v>44848</v>
      </c>
      <c r="B42" s="199"/>
      <c r="C42" s="200"/>
      <c r="D42" s="87"/>
      <c r="E42" s="81"/>
      <c r="F42" s="82"/>
      <c r="G42" s="78"/>
      <c r="H42" s="78">
        <f>+P17</f>
        <v>6348000</v>
      </c>
      <c r="J42" s="22">
        <v>44789</v>
      </c>
      <c r="K42" s="92"/>
      <c r="L42" s="48"/>
      <c r="M42" s="23"/>
      <c r="N42" s="23"/>
      <c r="O42" s="24">
        <v>0</v>
      </c>
      <c r="P42" s="24">
        <f>+SUM(P43:P54)</f>
        <v>6203903.7871010499</v>
      </c>
      <c r="Q42" s="26">
        <f>+SUM(Q43:Q54)</f>
        <v>9.1726027206212173</v>
      </c>
    </row>
    <row r="43" spans="1:27" x14ac:dyDescent="0.2">
      <c r="A43" s="144">
        <v>44865</v>
      </c>
      <c r="B43" s="202">
        <f>+$C$15</f>
        <v>0.63</v>
      </c>
      <c r="C43" s="203"/>
      <c r="D43" s="88">
        <f>+E43/$P$17</f>
        <v>0</v>
      </c>
      <c r="E43" s="102">
        <f t="shared" ref="E43:E51" si="13">+IF(K43&gt;F43,MIN(K43-F43,H42),0)</f>
        <v>0</v>
      </c>
      <c r="F43" s="83">
        <f>+MIN($K43,N42+M43)</f>
        <v>0</v>
      </c>
      <c r="G43" s="79">
        <f t="shared" ref="G43:G48" si="14">+E43+F43</f>
        <v>0</v>
      </c>
      <c r="H43" s="79">
        <f>+H42-E43</f>
        <v>6348000</v>
      </c>
      <c r="J43" s="27">
        <v>44854</v>
      </c>
      <c r="K43" s="35">
        <v>0</v>
      </c>
      <c r="L43" s="49">
        <f>+J43-J42</f>
        <v>65</v>
      </c>
      <c r="M43" s="28">
        <f>+H42*(B43)/365*L43</f>
        <v>712193.42465753434</v>
      </c>
      <c r="N43" s="28">
        <f>+N42+M43-F43</f>
        <v>712193.42465753434</v>
      </c>
      <c r="O43" s="96">
        <f>+G43</f>
        <v>0</v>
      </c>
      <c r="P43" s="98">
        <f t="shared" ref="P43:P53" si="15">+O43/(1+$F$12)^((A43-$A$22)/365)</f>
        <v>0</v>
      </c>
      <c r="Q43" s="29">
        <f t="shared" ref="Q43:Q54" si="16">+P43*((A43-$A$22)/(30.4166666666667))/$P$22</f>
        <v>0</v>
      </c>
    </row>
    <row r="44" spans="1:27" x14ac:dyDescent="0.2">
      <c r="A44" s="144">
        <v>44885</v>
      </c>
      <c r="B44" s="202">
        <f t="shared" ref="B44:B54" si="17">+$C$15</f>
        <v>0.63</v>
      </c>
      <c r="C44" s="203"/>
      <c r="D44" s="88">
        <f t="shared" ref="D44:D53" si="18">+E44/$P$17</f>
        <v>0</v>
      </c>
      <c r="E44" s="102">
        <f t="shared" si="13"/>
        <v>0</v>
      </c>
      <c r="F44" s="83">
        <f t="shared" ref="F44:F51" si="19">+MIN($K44,N43+M44)</f>
        <v>0</v>
      </c>
      <c r="G44" s="80">
        <f t="shared" si="14"/>
        <v>0</v>
      </c>
      <c r="H44" s="80">
        <f t="shared" ref="H44:H54" si="20">+H43-E44</f>
        <v>6348000</v>
      </c>
      <c r="J44" s="27">
        <f t="shared" ref="J44:J54" si="21">+A44</f>
        <v>44885</v>
      </c>
      <c r="K44" s="35">
        <v>0</v>
      </c>
      <c r="L44" s="49">
        <f t="shared" ref="L44:L54" si="22">+J44-J43</f>
        <v>31</v>
      </c>
      <c r="M44" s="28">
        <f t="shared" ref="M44:M54" si="23">+H43*(B44)/365*L44</f>
        <v>339661.47945205483</v>
      </c>
      <c r="N44" s="28">
        <f t="shared" ref="N44:N54" si="24">+N43+M44-F44</f>
        <v>1051854.9041095893</v>
      </c>
      <c r="O44" s="96">
        <f t="shared" ref="O44:O51" si="25">+G44</f>
        <v>0</v>
      </c>
      <c r="P44" s="99">
        <f t="shared" si="15"/>
        <v>0</v>
      </c>
      <c r="Q44" s="29">
        <f t="shared" si="16"/>
        <v>0</v>
      </c>
    </row>
    <row r="45" spans="1:27" x14ac:dyDescent="0.2">
      <c r="A45" s="144">
        <v>44915</v>
      </c>
      <c r="B45" s="202">
        <f t="shared" si="17"/>
        <v>0.63</v>
      </c>
      <c r="C45" s="203"/>
      <c r="D45" s="88">
        <f t="shared" si="18"/>
        <v>0</v>
      </c>
      <c r="E45" s="102">
        <f t="shared" si="13"/>
        <v>0</v>
      </c>
      <c r="F45" s="83">
        <f t="shared" si="19"/>
        <v>0</v>
      </c>
      <c r="G45" s="80">
        <f t="shared" si="14"/>
        <v>0</v>
      </c>
      <c r="H45" s="80">
        <f t="shared" si="20"/>
        <v>6348000</v>
      </c>
      <c r="J45" s="27">
        <f t="shared" si="21"/>
        <v>44915</v>
      </c>
      <c r="K45" s="35">
        <v>0</v>
      </c>
      <c r="L45" s="49">
        <f t="shared" si="22"/>
        <v>30</v>
      </c>
      <c r="M45" s="28">
        <f t="shared" si="23"/>
        <v>328704.65753424662</v>
      </c>
      <c r="N45" s="28">
        <f t="shared" si="24"/>
        <v>1380559.5616438359</v>
      </c>
      <c r="O45" s="96">
        <f t="shared" si="25"/>
        <v>0</v>
      </c>
      <c r="P45" s="99">
        <f t="shared" si="15"/>
        <v>0</v>
      </c>
      <c r="Q45" s="29">
        <f t="shared" si="16"/>
        <v>0</v>
      </c>
    </row>
    <row r="46" spans="1:27" x14ac:dyDescent="0.2">
      <c r="A46" s="144">
        <v>44946</v>
      </c>
      <c r="B46" s="202">
        <f t="shared" si="17"/>
        <v>0.63</v>
      </c>
      <c r="C46" s="203"/>
      <c r="D46" s="88">
        <f t="shared" si="18"/>
        <v>0</v>
      </c>
      <c r="E46" s="102">
        <f t="shared" si="13"/>
        <v>0</v>
      </c>
      <c r="F46" s="83">
        <f t="shared" si="19"/>
        <v>0</v>
      </c>
      <c r="G46" s="80">
        <f t="shared" si="14"/>
        <v>0</v>
      </c>
      <c r="H46" s="80">
        <f t="shared" si="20"/>
        <v>6348000</v>
      </c>
      <c r="J46" s="27">
        <f t="shared" si="21"/>
        <v>44946</v>
      </c>
      <c r="K46" s="35">
        <v>0</v>
      </c>
      <c r="L46" s="49">
        <f t="shared" si="22"/>
        <v>31</v>
      </c>
      <c r="M46" s="28">
        <f t="shared" si="23"/>
        <v>339661.47945205483</v>
      </c>
      <c r="N46" s="28">
        <f t="shared" si="24"/>
        <v>1720221.0410958906</v>
      </c>
      <c r="O46" s="96">
        <f t="shared" si="25"/>
        <v>0</v>
      </c>
      <c r="P46" s="99">
        <f t="shared" si="15"/>
        <v>0</v>
      </c>
      <c r="Q46" s="29">
        <f t="shared" si="16"/>
        <v>0</v>
      </c>
    </row>
    <row r="47" spans="1:27" x14ac:dyDescent="0.2">
      <c r="A47" s="144">
        <v>44977</v>
      </c>
      <c r="B47" s="202">
        <f t="shared" si="17"/>
        <v>0.63</v>
      </c>
      <c r="C47" s="203"/>
      <c r="D47" s="88">
        <f t="shared" si="18"/>
        <v>0</v>
      </c>
      <c r="E47" s="102">
        <f t="shared" si="13"/>
        <v>0</v>
      </c>
      <c r="F47" s="83">
        <f t="shared" si="19"/>
        <v>0</v>
      </c>
      <c r="G47" s="80">
        <f t="shared" si="14"/>
        <v>0</v>
      </c>
      <c r="H47" s="80">
        <f t="shared" si="20"/>
        <v>6348000</v>
      </c>
      <c r="J47" s="27">
        <f t="shared" si="21"/>
        <v>44977</v>
      </c>
      <c r="K47" s="35">
        <v>0</v>
      </c>
      <c r="L47" s="49">
        <f t="shared" si="22"/>
        <v>31</v>
      </c>
      <c r="M47" s="28">
        <f t="shared" si="23"/>
        <v>339661.47945205483</v>
      </c>
      <c r="N47" s="28">
        <f t="shared" si="24"/>
        <v>2059882.5205479455</v>
      </c>
      <c r="O47" s="96">
        <f t="shared" si="25"/>
        <v>0</v>
      </c>
      <c r="P47" s="99">
        <f t="shared" si="15"/>
        <v>0</v>
      </c>
      <c r="Q47" s="29">
        <f t="shared" si="16"/>
        <v>0</v>
      </c>
    </row>
    <row r="48" spans="1:27" x14ac:dyDescent="0.2">
      <c r="A48" s="144">
        <v>45005</v>
      </c>
      <c r="B48" s="202">
        <f t="shared" si="17"/>
        <v>0.63</v>
      </c>
      <c r="C48" s="203"/>
      <c r="D48" s="88">
        <f t="shared" si="18"/>
        <v>0</v>
      </c>
      <c r="E48" s="102">
        <f t="shared" si="13"/>
        <v>0</v>
      </c>
      <c r="F48" s="83">
        <f t="shared" si="19"/>
        <v>0</v>
      </c>
      <c r="G48" s="80">
        <f t="shared" si="14"/>
        <v>0</v>
      </c>
      <c r="H48" s="80">
        <f t="shared" si="20"/>
        <v>6348000</v>
      </c>
      <c r="J48" s="27">
        <f t="shared" si="21"/>
        <v>45005</v>
      </c>
      <c r="K48" s="35">
        <v>0</v>
      </c>
      <c r="L48" s="49">
        <f t="shared" si="22"/>
        <v>28</v>
      </c>
      <c r="M48" s="28">
        <f t="shared" si="23"/>
        <v>306791.01369863015</v>
      </c>
      <c r="N48" s="28">
        <f t="shared" si="24"/>
        <v>2366673.5342465756</v>
      </c>
      <c r="O48" s="96">
        <f t="shared" si="25"/>
        <v>0</v>
      </c>
      <c r="P48" s="99">
        <f t="shared" si="15"/>
        <v>0</v>
      </c>
      <c r="Q48" s="29">
        <f t="shared" si="16"/>
        <v>0</v>
      </c>
    </row>
    <row r="49" spans="1:17" x14ac:dyDescent="0.2">
      <c r="A49" s="144">
        <v>45036</v>
      </c>
      <c r="B49" s="202">
        <f t="shared" si="17"/>
        <v>0.63</v>
      </c>
      <c r="C49" s="203"/>
      <c r="D49" s="88">
        <f t="shared" si="18"/>
        <v>0</v>
      </c>
      <c r="E49" s="102">
        <f t="shared" si="13"/>
        <v>0</v>
      </c>
      <c r="F49" s="83">
        <f t="shared" si="19"/>
        <v>0</v>
      </c>
      <c r="G49" s="80">
        <f t="shared" ref="G49:G54" si="26">+E49+F49</f>
        <v>0</v>
      </c>
      <c r="H49" s="80">
        <f t="shared" si="20"/>
        <v>6348000</v>
      </c>
      <c r="J49" s="27">
        <f t="shared" si="21"/>
        <v>45036</v>
      </c>
      <c r="K49" s="35">
        <v>0</v>
      </c>
      <c r="L49" s="49">
        <f t="shared" si="22"/>
        <v>31</v>
      </c>
      <c r="M49" s="28">
        <f t="shared" si="23"/>
        <v>339661.47945205483</v>
      </c>
      <c r="N49" s="28">
        <f t="shared" si="24"/>
        <v>2706335.0136986305</v>
      </c>
      <c r="O49" s="96">
        <f t="shared" si="25"/>
        <v>0</v>
      </c>
      <c r="P49" s="99">
        <f t="shared" si="15"/>
        <v>0</v>
      </c>
      <c r="Q49" s="29">
        <f t="shared" si="16"/>
        <v>0</v>
      </c>
    </row>
    <row r="50" spans="1:17" x14ac:dyDescent="0.2">
      <c r="A50" s="144">
        <v>45066</v>
      </c>
      <c r="B50" s="202">
        <f t="shared" si="17"/>
        <v>0.63</v>
      </c>
      <c r="C50" s="203"/>
      <c r="D50" s="88">
        <f t="shared" si="18"/>
        <v>0</v>
      </c>
      <c r="E50" s="102">
        <f t="shared" si="13"/>
        <v>0</v>
      </c>
      <c r="F50" s="83">
        <f t="shared" si="19"/>
        <v>0</v>
      </c>
      <c r="G50" s="80">
        <f t="shared" si="26"/>
        <v>0</v>
      </c>
      <c r="H50" s="80">
        <f t="shared" si="20"/>
        <v>6348000</v>
      </c>
      <c r="J50" s="27">
        <f t="shared" si="21"/>
        <v>45066</v>
      </c>
      <c r="K50" s="35">
        <v>0</v>
      </c>
      <c r="L50" s="49">
        <f t="shared" si="22"/>
        <v>30</v>
      </c>
      <c r="M50" s="28">
        <f t="shared" si="23"/>
        <v>328704.65753424662</v>
      </c>
      <c r="N50" s="28">
        <f t="shared" si="24"/>
        <v>3035039.6712328773</v>
      </c>
      <c r="O50" s="96">
        <f t="shared" si="25"/>
        <v>0</v>
      </c>
      <c r="P50" s="99">
        <f t="shared" si="15"/>
        <v>0</v>
      </c>
      <c r="Q50" s="29">
        <f t="shared" si="16"/>
        <v>0</v>
      </c>
    </row>
    <row r="51" spans="1:17" x14ac:dyDescent="0.2">
      <c r="A51" s="144">
        <v>45097</v>
      </c>
      <c r="B51" s="202">
        <f t="shared" si="17"/>
        <v>0.63</v>
      </c>
      <c r="C51" s="203"/>
      <c r="D51" s="88">
        <f t="shared" si="18"/>
        <v>0</v>
      </c>
      <c r="E51" s="102">
        <f t="shared" si="13"/>
        <v>0</v>
      </c>
      <c r="F51" s="83">
        <f t="shared" si="19"/>
        <v>0</v>
      </c>
      <c r="G51" s="80">
        <f t="shared" si="26"/>
        <v>0</v>
      </c>
      <c r="H51" s="80">
        <f t="shared" si="20"/>
        <v>6348000</v>
      </c>
      <c r="J51" s="27">
        <f t="shared" si="21"/>
        <v>45097</v>
      </c>
      <c r="K51" s="35">
        <v>0</v>
      </c>
      <c r="L51" s="49">
        <f t="shared" si="22"/>
        <v>31</v>
      </c>
      <c r="M51" s="28">
        <f t="shared" si="23"/>
        <v>339661.47945205483</v>
      </c>
      <c r="N51" s="28">
        <f t="shared" si="24"/>
        <v>3374701.1506849322</v>
      </c>
      <c r="O51" s="96">
        <f t="shared" si="25"/>
        <v>0</v>
      </c>
      <c r="P51" s="99">
        <f t="shared" si="15"/>
        <v>0</v>
      </c>
      <c r="Q51" s="29">
        <f t="shared" si="16"/>
        <v>0</v>
      </c>
    </row>
    <row r="52" spans="1:17" x14ac:dyDescent="0.2">
      <c r="A52" s="144">
        <v>45127</v>
      </c>
      <c r="B52" s="202">
        <f t="shared" si="17"/>
        <v>0.63</v>
      </c>
      <c r="C52" s="203"/>
      <c r="D52" s="88">
        <f t="shared" si="18"/>
        <v>1</v>
      </c>
      <c r="E52" s="102">
        <f>+IF(K52&gt;F52,MIN(K52-F52,H51),0)</f>
        <v>6348000</v>
      </c>
      <c r="F52" s="83">
        <f>+MIN($K52,N51+M52)</f>
        <v>3703405.808219179</v>
      </c>
      <c r="G52" s="80">
        <f t="shared" si="26"/>
        <v>10051405.80821918</v>
      </c>
      <c r="H52" s="80">
        <f t="shared" si="20"/>
        <v>0</v>
      </c>
      <c r="J52" s="27">
        <f t="shared" si="21"/>
        <v>45127</v>
      </c>
      <c r="K52" s="35">
        <f>10428210.8877036</f>
        <v>10428210.887703599</v>
      </c>
      <c r="L52" s="49">
        <f t="shared" si="22"/>
        <v>30</v>
      </c>
      <c r="M52" s="28">
        <f t="shared" si="23"/>
        <v>328704.65753424662</v>
      </c>
      <c r="N52" s="28">
        <f t="shared" si="24"/>
        <v>0</v>
      </c>
      <c r="O52" s="96">
        <f>+G52</f>
        <v>10051405.80821918</v>
      </c>
      <c r="P52" s="99">
        <f t="shared" si="15"/>
        <v>6203903.7871010499</v>
      </c>
      <c r="Q52" s="29">
        <f>+P52*((A52-$A$22)/(30.4166666666667))/$P$22</f>
        <v>9.1726027206212173</v>
      </c>
    </row>
    <row r="53" spans="1:17" x14ac:dyDescent="0.2">
      <c r="A53" s="144">
        <v>45158</v>
      </c>
      <c r="B53" s="202">
        <f t="shared" si="17"/>
        <v>0.63</v>
      </c>
      <c r="C53" s="203"/>
      <c r="D53" s="88">
        <f t="shared" si="18"/>
        <v>0</v>
      </c>
      <c r="E53" s="102">
        <f>+IF(K53&gt;F53,MIN(K53-F53,H52),0)</f>
        <v>0</v>
      </c>
      <c r="F53" s="83">
        <f>+MIN($K53,N52+M53)</f>
        <v>0</v>
      </c>
      <c r="G53" s="83">
        <f t="shared" si="26"/>
        <v>0</v>
      </c>
      <c r="H53" s="83">
        <f t="shared" si="20"/>
        <v>0</v>
      </c>
      <c r="J53" s="27">
        <f t="shared" si="21"/>
        <v>45158</v>
      </c>
      <c r="K53" s="35">
        <f>7688941.73256113</f>
        <v>7688941.7325611301</v>
      </c>
      <c r="L53" s="49">
        <f t="shared" si="22"/>
        <v>31</v>
      </c>
      <c r="M53" s="28">
        <f t="shared" si="23"/>
        <v>0</v>
      </c>
      <c r="N53" s="28">
        <f t="shared" si="24"/>
        <v>0</v>
      </c>
      <c r="O53" s="96">
        <f>+G53</f>
        <v>0</v>
      </c>
      <c r="P53" s="99">
        <f t="shared" si="15"/>
        <v>0</v>
      </c>
      <c r="Q53" s="29">
        <f t="shared" si="16"/>
        <v>0</v>
      </c>
    </row>
    <row r="54" spans="1:17" x14ac:dyDescent="0.2">
      <c r="A54" s="145">
        <v>45189</v>
      </c>
      <c r="B54" s="202">
        <f t="shared" si="17"/>
        <v>0.63</v>
      </c>
      <c r="C54" s="203"/>
      <c r="D54" s="100">
        <f>+E54/$P$17</f>
        <v>0</v>
      </c>
      <c r="E54" s="103">
        <f>+IF(K54&gt;F54,MIN(K54-F54,H53),0)</f>
        <v>0</v>
      </c>
      <c r="F54" s="84">
        <f>+MIN($K54,N53+M54)</f>
        <v>0</v>
      </c>
      <c r="G54" s="84">
        <f t="shared" si="26"/>
        <v>0</v>
      </c>
      <c r="H54" s="84">
        <f t="shared" si="20"/>
        <v>0</v>
      </c>
      <c r="J54" s="31">
        <f t="shared" si="21"/>
        <v>45189</v>
      </c>
      <c r="K54" s="44">
        <f>5296932.02962757</f>
        <v>5296932.02962757</v>
      </c>
      <c r="L54" s="50">
        <f t="shared" si="22"/>
        <v>31</v>
      </c>
      <c r="M54" s="93">
        <f t="shared" si="23"/>
        <v>0</v>
      </c>
      <c r="N54" s="32">
        <f t="shared" si="24"/>
        <v>0</v>
      </c>
      <c r="O54" s="97">
        <f>+G54</f>
        <v>0</v>
      </c>
      <c r="P54" s="93">
        <f>+O54/(1+$F$12)^((A54-$A$22)/365)</f>
        <v>0</v>
      </c>
      <c r="Q54" s="33">
        <f t="shared" si="16"/>
        <v>0</v>
      </c>
    </row>
    <row r="55" spans="1:17" x14ac:dyDescent="0.2">
      <c r="A55" s="206"/>
      <c r="B55" s="211"/>
      <c r="C55" s="212"/>
      <c r="D55" s="207">
        <f>SUM(D43:D54)</f>
        <v>1</v>
      </c>
      <c r="E55" s="208">
        <f>SUM(E42:E54)</f>
        <v>6348000</v>
      </c>
      <c r="F55" s="209">
        <f>SUM(F42:F54)</f>
        <v>3703405.808219179</v>
      </c>
      <c r="G55" s="208">
        <f>SUM(G43:G54)</f>
        <v>10051405.80821918</v>
      </c>
      <c r="H55" s="210"/>
      <c r="J55" s="34"/>
      <c r="K55" s="91" t="s">
        <v>25</v>
      </c>
      <c r="L55" s="34"/>
      <c r="M55" s="34"/>
      <c r="N55" s="8"/>
      <c r="O55" s="16"/>
      <c r="P55" s="16"/>
      <c r="Q55" s="16"/>
    </row>
    <row r="56" spans="1:17" x14ac:dyDescent="0.2">
      <c r="J56" s="41"/>
      <c r="K56" s="42"/>
    </row>
    <row r="58" spans="1:17" x14ac:dyDescent="0.2">
      <c r="A58" s="197" t="s">
        <v>20</v>
      </c>
      <c r="B58" s="197"/>
      <c r="C58" s="197"/>
      <c r="D58" s="197"/>
      <c r="E58" s="197"/>
      <c r="F58" s="197"/>
      <c r="G58" s="197"/>
      <c r="H58" s="197"/>
    </row>
    <row r="59" spans="1:17" x14ac:dyDescent="0.2">
      <c r="A59" s="197"/>
      <c r="B59" s="197"/>
      <c r="C59" s="197"/>
      <c r="D59" s="197"/>
      <c r="E59" s="197"/>
      <c r="F59" s="197"/>
      <c r="G59" s="197"/>
      <c r="H59" s="197"/>
    </row>
    <row r="60" spans="1:17" x14ac:dyDescent="0.2">
      <c r="A60" s="197"/>
      <c r="B60" s="197"/>
      <c r="C60" s="197"/>
      <c r="D60" s="197"/>
      <c r="E60" s="197"/>
      <c r="F60" s="197"/>
      <c r="G60" s="197"/>
      <c r="H60" s="197"/>
    </row>
    <row r="61" spans="1:17" x14ac:dyDescent="0.2">
      <c r="A61" s="197"/>
      <c r="B61" s="197"/>
      <c r="C61" s="197"/>
      <c r="D61" s="197"/>
      <c r="E61" s="197"/>
      <c r="F61" s="197"/>
      <c r="G61" s="197"/>
      <c r="H61" s="197"/>
    </row>
    <row r="62" spans="1:17" x14ac:dyDescent="0.2">
      <c r="A62" s="197"/>
      <c r="B62" s="197"/>
      <c r="C62" s="197"/>
      <c r="D62" s="197"/>
      <c r="E62" s="197"/>
      <c r="F62" s="197"/>
      <c r="G62" s="197"/>
      <c r="H62" s="197"/>
    </row>
    <row r="63" spans="1:17" x14ac:dyDescent="0.2">
      <c r="A63" s="197"/>
      <c r="B63" s="197"/>
      <c r="C63" s="197"/>
      <c r="D63" s="197"/>
      <c r="E63" s="197"/>
      <c r="F63" s="197"/>
      <c r="G63" s="197"/>
      <c r="H63" s="197"/>
    </row>
    <row r="64" spans="1:17" x14ac:dyDescent="0.2">
      <c r="A64" s="197"/>
      <c r="B64" s="197"/>
      <c r="C64" s="197"/>
      <c r="D64" s="197"/>
      <c r="E64" s="197"/>
      <c r="F64" s="197"/>
      <c r="G64" s="197"/>
      <c r="H64" s="197"/>
    </row>
    <row r="65" spans="1:8" x14ac:dyDescent="0.2">
      <c r="A65" s="197"/>
      <c r="B65" s="197"/>
      <c r="C65" s="197"/>
      <c r="D65" s="197"/>
      <c r="E65" s="197"/>
      <c r="F65" s="197"/>
      <c r="G65" s="197"/>
      <c r="H65" s="197"/>
    </row>
    <row r="66" spans="1:8" x14ac:dyDescent="0.2">
      <c r="A66" s="197"/>
      <c r="B66" s="197"/>
      <c r="C66" s="197"/>
      <c r="D66" s="197"/>
      <c r="E66" s="197"/>
      <c r="F66" s="197"/>
      <c r="G66" s="197"/>
      <c r="H66" s="197"/>
    </row>
    <row r="67" spans="1:8" x14ac:dyDescent="0.2">
      <c r="A67" s="197"/>
      <c r="B67" s="197"/>
      <c r="C67" s="197"/>
      <c r="D67" s="197"/>
      <c r="E67" s="197"/>
      <c r="F67" s="197"/>
      <c r="G67" s="197"/>
      <c r="H67" s="197"/>
    </row>
    <row r="68" spans="1:8" x14ac:dyDescent="0.2">
      <c r="A68" s="197"/>
      <c r="B68" s="197"/>
      <c r="C68" s="197"/>
      <c r="D68" s="197"/>
      <c r="E68" s="197"/>
      <c r="F68" s="197"/>
      <c r="G68" s="197"/>
      <c r="H68" s="197"/>
    </row>
  </sheetData>
  <mergeCells count="26">
    <mergeCell ref="A4:B4"/>
    <mergeCell ref="C4:F4"/>
    <mergeCell ref="A20:H20"/>
    <mergeCell ref="A58:H68"/>
    <mergeCell ref="B13:C13"/>
    <mergeCell ref="A36:B36"/>
    <mergeCell ref="A6:H6"/>
    <mergeCell ref="A8:H10"/>
    <mergeCell ref="B41:C41"/>
    <mergeCell ref="B42:C42"/>
    <mergeCell ref="B43:C43"/>
    <mergeCell ref="B44:C44"/>
    <mergeCell ref="B45:C45"/>
    <mergeCell ref="L40:N40"/>
    <mergeCell ref="A40:H40"/>
    <mergeCell ref="L20:N20"/>
    <mergeCell ref="B55:C55"/>
    <mergeCell ref="B50:C50"/>
    <mergeCell ref="B51:C51"/>
    <mergeCell ref="B52:C52"/>
    <mergeCell ref="B53:C53"/>
    <mergeCell ref="B54:C54"/>
    <mergeCell ref="B46:C46"/>
    <mergeCell ref="B47:C47"/>
    <mergeCell ref="B48:C48"/>
    <mergeCell ref="B49:C49"/>
  </mergeCells>
  <conditionalFormatting sqref="E35:G36 L23:L34">
    <cfRule type="cellIs" dxfId="9" priority="11" stopIfTrue="1" operator="equal">
      <formula>0</formula>
    </cfRule>
  </conditionalFormatting>
  <conditionalFormatting sqref="F23:F34">
    <cfRule type="cellIs" dxfId="8" priority="10" stopIfTrue="1" operator="equal">
      <formula>0</formula>
    </cfRule>
  </conditionalFormatting>
  <conditionalFormatting sqref="E23:E34">
    <cfRule type="cellIs" dxfId="7" priority="8" stopIfTrue="1" operator="equal">
      <formula>0</formula>
    </cfRule>
  </conditionalFormatting>
  <conditionalFormatting sqref="G34:H34">
    <cfRule type="cellIs" dxfId="6" priority="7" stopIfTrue="1" operator="equal">
      <formula>0</formula>
    </cfRule>
  </conditionalFormatting>
  <conditionalFormatting sqref="L43:L54">
    <cfRule type="cellIs" dxfId="5" priority="6" stopIfTrue="1" operator="equal">
      <formula>0</formula>
    </cfRule>
  </conditionalFormatting>
  <conditionalFormatting sqref="E55:G55">
    <cfRule type="cellIs" dxfId="4" priority="5" stopIfTrue="1" operator="equal">
      <formula>0</formula>
    </cfRule>
  </conditionalFormatting>
  <conditionalFormatting sqref="F43:F54">
    <cfRule type="cellIs" dxfId="3" priority="4" stopIfTrue="1" operator="equal">
      <formula>0</formula>
    </cfRule>
  </conditionalFormatting>
  <conditionalFormatting sqref="E43:E54">
    <cfRule type="cellIs" dxfId="2" priority="3" stopIfTrue="1" operator="equal">
      <formula>0</formula>
    </cfRule>
  </conditionalFormatting>
  <conditionalFormatting sqref="G54:H54">
    <cfRule type="cellIs" dxfId="1" priority="2" stopIfTrue="1" operator="equal">
      <formula>0</formula>
    </cfRule>
  </conditionalFormatting>
  <conditionalFormatting sqref="G53:H53">
    <cfRule type="cellIs" dxfId="0" priority="1" stopIfTrue="1" operator="equal">
      <formula>0</formula>
    </cfRule>
  </conditionalFormatting>
  <printOptions horizontalCentered="1"/>
  <pageMargins left="0.78740157480314965" right="0.78740157480314965" top="0.77" bottom="3.937007874015748E-2"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577"/>
  <sheetViews>
    <sheetView topLeftCell="A12" workbookViewId="0">
      <selection activeCell="B12" sqref="B1:IV65536"/>
    </sheetView>
  </sheetViews>
  <sheetFormatPr baseColWidth="10" defaultColWidth="0" defaultRowHeight="15" x14ac:dyDescent="0.25"/>
  <cols>
    <col min="1" max="2" width="11.42578125" style="2" customWidth="1"/>
    <col min="3" max="16384" width="11.42578125" style="2" hidden="1"/>
  </cols>
  <sheetData>
    <row r="1" spans="1:2" ht="15.75" thickBot="1" x14ac:dyDescent="0.3">
      <c r="A1" s="1" t="s">
        <v>0</v>
      </c>
      <c r="B1" s="1" t="s">
        <v>16</v>
      </c>
    </row>
    <row r="2" spans="1:2" ht="16.5" thickTop="1" thickBot="1" x14ac:dyDescent="0.3">
      <c r="A2" s="3">
        <v>44805</v>
      </c>
      <c r="B2" s="4">
        <v>64.625</v>
      </c>
    </row>
    <row r="3" spans="1:2" ht="15.75" thickBot="1" x14ac:dyDescent="0.3">
      <c r="A3" s="3">
        <v>44806</v>
      </c>
      <c r="B3" s="4">
        <f>+B2</f>
        <v>64.625</v>
      </c>
    </row>
    <row r="4" spans="1:2" ht="15.75" thickBot="1" x14ac:dyDescent="0.3">
      <c r="A4" s="3">
        <v>44807</v>
      </c>
      <c r="B4" s="4">
        <f>+B3</f>
        <v>64.625</v>
      </c>
    </row>
    <row r="5" spans="1:2" ht="15.75" thickBot="1" x14ac:dyDescent="0.3">
      <c r="A5" s="3">
        <v>44808</v>
      </c>
      <c r="B5" s="4">
        <f>+B4</f>
        <v>64.625</v>
      </c>
    </row>
    <row r="6" spans="1:2" ht="15.75" thickBot="1" x14ac:dyDescent="0.3">
      <c r="A6" s="3">
        <v>44809</v>
      </c>
      <c r="B6" s="4">
        <v>64.1875</v>
      </c>
    </row>
    <row r="7" spans="1:2" ht="15.75" thickBot="1" x14ac:dyDescent="0.3">
      <c r="A7" s="3">
        <v>44810</v>
      </c>
      <c r="B7" s="4">
        <v>62.9375</v>
      </c>
    </row>
    <row r="8" spans="1:2" ht="15.75" thickBot="1" x14ac:dyDescent="0.3">
      <c r="A8" s="3">
        <v>44811</v>
      </c>
      <c r="B8" s="4">
        <v>63.8125</v>
      </c>
    </row>
    <row r="9" spans="1:2" ht="15.75" thickBot="1" x14ac:dyDescent="0.3">
      <c r="A9" s="3">
        <v>44812</v>
      </c>
      <c r="B9" s="4">
        <v>63.5625</v>
      </c>
    </row>
    <row r="10" spans="1:2" ht="15.75" thickBot="1" x14ac:dyDescent="0.3">
      <c r="A10" s="3">
        <v>44813</v>
      </c>
      <c r="B10" s="4">
        <v>63.6875</v>
      </c>
    </row>
    <row r="11" spans="1:2" ht="15.75" thickBot="1" x14ac:dyDescent="0.3">
      <c r="A11" s="3">
        <v>44814</v>
      </c>
      <c r="B11" s="4">
        <f>+B10</f>
        <v>63.6875</v>
      </c>
    </row>
    <row r="12" spans="1:2" ht="15.75" thickBot="1" x14ac:dyDescent="0.3">
      <c r="A12" s="3">
        <v>44815</v>
      </c>
      <c r="B12" s="4">
        <f>+B11</f>
        <v>63.6875</v>
      </c>
    </row>
    <row r="13" spans="1:2" ht="15.75" thickBot="1" x14ac:dyDescent="0.3">
      <c r="A13" s="3">
        <v>44816</v>
      </c>
      <c r="B13" s="4">
        <v>64.1875</v>
      </c>
    </row>
    <row r="14" spans="1:2" ht="15.75" thickBot="1" x14ac:dyDescent="0.3">
      <c r="A14" s="3">
        <v>44817</v>
      </c>
      <c r="B14" s="4">
        <v>63.9375</v>
      </c>
    </row>
    <row r="15" spans="1:2" ht="15.75" thickBot="1" x14ac:dyDescent="0.3">
      <c r="A15" s="3">
        <v>44818</v>
      </c>
      <c r="B15" s="4">
        <v>63.875</v>
      </c>
    </row>
    <row r="16" spans="1:2" ht="15.75" thickBot="1" x14ac:dyDescent="0.3">
      <c r="A16" s="3">
        <v>44819</v>
      </c>
      <c r="B16" s="4">
        <v>64.0625</v>
      </c>
    </row>
    <row r="17" spans="1:2" ht="15.75" thickBot="1" x14ac:dyDescent="0.3">
      <c r="A17" s="3">
        <v>44820</v>
      </c>
      <c r="B17" s="4">
        <v>68.1875</v>
      </c>
    </row>
    <row r="18" spans="1:2" ht="15.75" thickBot="1" x14ac:dyDescent="0.3">
      <c r="A18" s="3">
        <v>44821</v>
      </c>
      <c r="B18" s="4">
        <f>+B17</f>
        <v>68.1875</v>
      </c>
    </row>
    <row r="19" spans="1:2" ht="15.75" thickBot="1" x14ac:dyDescent="0.3">
      <c r="A19" s="3">
        <v>44822</v>
      </c>
      <c r="B19" s="4">
        <f>+B18</f>
        <v>68.1875</v>
      </c>
    </row>
    <row r="20" spans="1:2" ht="15.75" thickBot="1" x14ac:dyDescent="0.3">
      <c r="A20" s="3">
        <v>44823</v>
      </c>
      <c r="B20" s="4">
        <v>68.6875</v>
      </c>
    </row>
    <row r="21" spans="1:2" ht="15.75" thickBot="1" x14ac:dyDescent="0.3">
      <c r="A21" s="3">
        <v>44824</v>
      </c>
      <c r="B21" s="4">
        <v>68.6875</v>
      </c>
    </row>
    <row r="22" spans="1:2" ht="15.75" thickBot="1" x14ac:dyDescent="0.3">
      <c r="A22" s="3">
        <v>44825</v>
      </c>
      <c r="B22" s="4">
        <v>69.6875</v>
      </c>
    </row>
    <row r="23" spans="1:2" ht="15.75" thickBot="1" x14ac:dyDescent="0.3">
      <c r="A23" s="3">
        <v>44826</v>
      </c>
      <c r="B23" s="4">
        <v>68.625</v>
      </c>
    </row>
    <row r="24" spans="1:2" ht="15.75" thickBot="1" x14ac:dyDescent="0.3">
      <c r="A24" s="3">
        <v>44827</v>
      </c>
      <c r="B24" s="4">
        <v>68.75</v>
      </c>
    </row>
    <row r="25" spans="1:2" ht="15.75" thickBot="1" x14ac:dyDescent="0.3">
      <c r="A25" s="3">
        <v>44828</v>
      </c>
      <c r="B25" s="4">
        <f>+B24</f>
        <v>68.75</v>
      </c>
    </row>
    <row r="26" spans="1:2" ht="15.75" thickBot="1" x14ac:dyDescent="0.3">
      <c r="A26" s="3">
        <v>44829</v>
      </c>
      <c r="B26" s="4">
        <f>+B25</f>
        <v>68.75</v>
      </c>
    </row>
    <row r="27" spans="1:2" ht="15.75" thickBot="1" x14ac:dyDescent="0.3">
      <c r="A27" s="3">
        <v>44830</v>
      </c>
      <c r="B27" s="4">
        <v>69.25</v>
      </c>
    </row>
    <row r="28" spans="1:2" ht="15.75" thickBot="1" x14ac:dyDescent="0.3">
      <c r="A28" s="3">
        <v>44831</v>
      </c>
      <c r="B28" s="4">
        <v>68.25</v>
      </c>
    </row>
    <row r="29" spans="1:2" ht="15.75" thickBot="1" x14ac:dyDescent="0.3">
      <c r="A29" s="3">
        <v>44832</v>
      </c>
      <c r="B29" s="4">
        <v>69</v>
      </c>
    </row>
    <row r="30" spans="1:2" ht="15.75" thickBot="1" x14ac:dyDescent="0.3">
      <c r="A30" s="3">
        <v>44833</v>
      </c>
      <c r="B30" s="4">
        <v>69.125</v>
      </c>
    </row>
    <row r="31" spans="1:2" ht="15.75" thickBot="1" x14ac:dyDescent="0.3">
      <c r="A31" s="3">
        <v>44834</v>
      </c>
      <c r="B31" s="4">
        <v>69.125</v>
      </c>
    </row>
    <row r="32" spans="1:2" ht="15.75" thickBot="1" x14ac:dyDescent="0.3">
      <c r="A32" s="3">
        <v>44835</v>
      </c>
      <c r="B32" s="4">
        <f>+B31</f>
        <v>69.125</v>
      </c>
    </row>
    <row r="33" spans="1:2" ht="15.75" thickBot="1" x14ac:dyDescent="0.3">
      <c r="A33" s="3">
        <v>44836</v>
      </c>
      <c r="B33" s="4">
        <f>+B32</f>
        <v>69.125</v>
      </c>
    </row>
    <row r="34" spans="1:2" ht="15.75" thickBot="1" x14ac:dyDescent="0.3">
      <c r="A34" s="3">
        <v>44837</v>
      </c>
      <c r="B34" s="4">
        <v>69.8125</v>
      </c>
    </row>
    <row r="35" spans="1:2" ht="15.75" thickBot="1" x14ac:dyDescent="0.3">
      <c r="A35" s="3">
        <v>44838</v>
      </c>
      <c r="B35" s="4">
        <v>68.75</v>
      </c>
    </row>
    <row r="36" spans="1:2" ht="15.75" thickBot="1" x14ac:dyDescent="0.3">
      <c r="A36" s="3">
        <v>44839</v>
      </c>
      <c r="B36" s="4">
        <v>69.5</v>
      </c>
    </row>
    <row r="37" spans="1:2" ht="15.75" thickBot="1" x14ac:dyDescent="0.3">
      <c r="A37" s="3">
        <v>44840</v>
      </c>
      <c r="B37" s="4">
        <v>68.625</v>
      </c>
    </row>
    <row r="38" spans="1:2" ht="15.75" thickBot="1" x14ac:dyDescent="0.3">
      <c r="A38" s="3"/>
      <c r="B38" s="4"/>
    </row>
    <row r="39" spans="1:2" ht="15.75" thickBot="1" x14ac:dyDescent="0.3">
      <c r="A39" s="3"/>
      <c r="B39" s="4"/>
    </row>
    <row r="40" spans="1:2" ht="15.75" thickBot="1" x14ac:dyDescent="0.3">
      <c r="A40" s="3"/>
      <c r="B40" s="4"/>
    </row>
    <row r="41" spans="1:2" ht="15.75" thickBot="1" x14ac:dyDescent="0.3">
      <c r="A41" s="3"/>
      <c r="B41" s="4"/>
    </row>
    <row r="42" spans="1:2" ht="15.75" thickBot="1" x14ac:dyDescent="0.3">
      <c r="A42" s="3"/>
      <c r="B42" s="4"/>
    </row>
    <row r="43" spans="1:2" ht="15.75" thickBot="1" x14ac:dyDescent="0.3">
      <c r="A43" s="3"/>
      <c r="B43" s="4"/>
    </row>
    <row r="44" spans="1:2" ht="15.75" thickBot="1" x14ac:dyDescent="0.3">
      <c r="A44" s="3"/>
      <c r="B44" s="4"/>
    </row>
    <row r="45" spans="1:2" ht="15.75" thickBot="1" x14ac:dyDescent="0.3">
      <c r="A45" s="3"/>
      <c r="B45" s="4"/>
    </row>
    <row r="46" spans="1:2" ht="15.75" thickBot="1" x14ac:dyDescent="0.3">
      <c r="A46" s="3"/>
      <c r="B46" s="4"/>
    </row>
    <row r="47" spans="1:2" ht="15.75" thickBot="1" x14ac:dyDescent="0.3">
      <c r="A47" s="3"/>
      <c r="B47" s="4"/>
    </row>
    <row r="48" spans="1:2" ht="15.75" thickBot="1" x14ac:dyDescent="0.3">
      <c r="A48" s="3"/>
      <c r="B48" s="4"/>
    </row>
    <row r="49" spans="1:2" ht="15.75" thickBot="1" x14ac:dyDescent="0.3">
      <c r="A49" s="3"/>
      <c r="B49" s="4"/>
    </row>
    <row r="50" spans="1:2" ht="15.75" thickBot="1" x14ac:dyDescent="0.3">
      <c r="A50" s="3"/>
      <c r="B50" s="4"/>
    </row>
    <row r="51" spans="1:2" ht="15.75" thickBot="1" x14ac:dyDescent="0.3">
      <c r="A51" s="3"/>
      <c r="B51" s="4"/>
    </row>
    <row r="52" spans="1:2" ht="15.75" thickBot="1" x14ac:dyDescent="0.3">
      <c r="A52" s="3"/>
      <c r="B52" s="4"/>
    </row>
    <row r="53" spans="1:2" ht="15.75" thickBot="1" x14ac:dyDescent="0.3">
      <c r="A53" s="3"/>
      <c r="B53" s="4"/>
    </row>
    <row r="54" spans="1:2" ht="15.75" thickBot="1" x14ac:dyDescent="0.3">
      <c r="A54" s="3"/>
      <c r="B54" s="4"/>
    </row>
    <row r="55" spans="1:2" ht="15.75" thickBot="1" x14ac:dyDescent="0.3">
      <c r="A55" s="3"/>
      <c r="B55" s="4"/>
    </row>
    <row r="56" spans="1:2" ht="15.75" thickBot="1" x14ac:dyDescent="0.3">
      <c r="A56" s="3"/>
      <c r="B56" s="4"/>
    </row>
    <row r="57" spans="1:2" ht="15.75" thickBot="1" x14ac:dyDescent="0.3">
      <c r="A57" s="3"/>
      <c r="B57" s="4"/>
    </row>
    <row r="58" spans="1:2" ht="15.75" thickBot="1" x14ac:dyDescent="0.3">
      <c r="A58" s="3"/>
      <c r="B58" s="4"/>
    </row>
    <row r="59" spans="1:2" ht="15.75" thickBot="1" x14ac:dyDescent="0.3">
      <c r="A59" s="3"/>
      <c r="B59" s="4"/>
    </row>
    <row r="60" spans="1:2" ht="15.75" thickBot="1" x14ac:dyDescent="0.3">
      <c r="A60" s="3"/>
      <c r="B60" s="4"/>
    </row>
    <row r="61" spans="1:2" ht="15.75" thickBot="1" x14ac:dyDescent="0.3">
      <c r="A61" s="3"/>
      <c r="B61" s="4"/>
    </row>
    <row r="62" spans="1:2" ht="15.75" thickBot="1" x14ac:dyDescent="0.3">
      <c r="A62" s="3"/>
      <c r="B62" s="4"/>
    </row>
    <row r="63" spans="1:2" ht="15.75" thickBot="1" x14ac:dyDescent="0.3">
      <c r="A63" s="3"/>
      <c r="B63" s="4"/>
    </row>
    <row r="64" spans="1:2" ht="15.75" thickBot="1" x14ac:dyDescent="0.3">
      <c r="A64" s="3"/>
      <c r="B64" s="4"/>
    </row>
    <row r="65" spans="1:2" ht="15.75" thickBot="1" x14ac:dyDescent="0.3">
      <c r="A65" s="3"/>
      <c r="B65" s="4"/>
    </row>
    <row r="66" spans="1:2" ht="15.75" thickBot="1" x14ac:dyDescent="0.3">
      <c r="A66" s="3"/>
      <c r="B66" s="4"/>
    </row>
    <row r="67" spans="1:2" ht="15.75" thickBot="1" x14ac:dyDescent="0.3">
      <c r="A67" s="3"/>
      <c r="B67" s="4"/>
    </row>
    <row r="68" spans="1:2" ht="15.75" thickBot="1" x14ac:dyDescent="0.3">
      <c r="A68" s="3"/>
      <c r="B68" s="4"/>
    </row>
    <row r="69" spans="1:2" ht="15.75" thickBot="1" x14ac:dyDescent="0.3">
      <c r="A69" s="3"/>
      <c r="B69" s="4"/>
    </row>
    <row r="70" spans="1:2" ht="15.75" thickBot="1" x14ac:dyDescent="0.3">
      <c r="A70" s="3"/>
      <c r="B70" s="4"/>
    </row>
    <row r="71" spans="1:2" ht="15.75" thickBot="1" x14ac:dyDescent="0.3">
      <c r="A71" s="3"/>
      <c r="B71" s="4"/>
    </row>
    <row r="72" spans="1:2" ht="15.75" thickBot="1" x14ac:dyDescent="0.3">
      <c r="A72" s="3"/>
      <c r="B72" s="4"/>
    </row>
    <row r="73" spans="1:2" ht="15.75" thickBot="1" x14ac:dyDescent="0.3">
      <c r="A73" s="3"/>
      <c r="B73" s="4"/>
    </row>
    <row r="74" spans="1:2" ht="15.75" thickBot="1" x14ac:dyDescent="0.3">
      <c r="A74" s="3"/>
      <c r="B74" s="4"/>
    </row>
    <row r="75" spans="1:2" ht="15.75" thickBot="1" x14ac:dyDescent="0.3">
      <c r="A75" s="3"/>
      <c r="B75" s="4"/>
    </row>
    <row r="76" spans="1:2" ht="15.75" thickBot="1" x14ac:dyDescent="0.3">
      <c r="A76" s="3"/>
      <c r="B76" s="4"/>
    </row>
    <row r="77" spans="1:2" ht="15.75" thickBot="1" x14ac:dyDescent="0.3">
      <c r="A77" s="3"/>
      <c r="B77" s="4"/>
    </row>
    <row r="78" spans="1:2" ht="15.75" thickBot="1" x14ac:dyDescent="0.3">
      <c r="A78" s="3"/>
      <c r="B78" s="4"/>
    </row>
    <row r="79" spans="1:2" ht="15.75" thickBot="1" x14ac:dyDescent="0.3">
      <c r="A79" s="3"/>
      <c r="B79" s="4"/>
    </row>
    <row r="80" spans="1:2" ht="15.75" thickBot="1" x14ac:dyDescent="0.3">
      <c r="A80" s="3"/>
      <c r="B80" s="4"/>
    </row>
    <row r="81" spans="1:2" ht="15.75" thickBot="1" x14ac:dyDescent="0.3">
      <c r="A81" s="3"/>
      <c r="B81" s="4"/>
    </row>
    <row r="82" spans="1:2" ht="15.75" thickBot="1" x14ac:dyDescent="0.3">
      <c r="A82" s="3"/>
      <c r="B82" s="4"/>
    </row>
    <row r="83" spans="1:2" ht="15.75" thickBot="1" x14ac:dyDescent="0.3">
      <c r="A83" s="3"/>
      <c r="B83" s="4"/>
    </row>
    <row r="84" spans="1:2" ht="15.75" thickBot="1" x14ac:dyDescent="0.3">
      <c r="A84" s="3"/>
      <c r="B84" s="4"/>
    </row>
    <row r="85" spans="1:2" ht="15.75" thickBot="1" x14ac:dyDescent="0.3">
      <c r="A85" s="3"/>
      <c r="B85" s="4"/>
    </row>
    <row r="86" spans="1:2" ht="15.75" thickBot="1" x14ac:dyDescent="0.3">
      <c r="A86" s="3"/>
      <c r="B86" s="4"/>
    </row>
    <row r="87" spans="1:2" ht="15.75" thickBot="1" x14ac:dyDescent="0.3">
      <c r="A87" s="3"/>
      <c r="B87" s="4"/>
    </row>
    <row r="88" spans="1:2" ht="15.75" thickBot="1" x14ac:dyDescent="0.3">
      <c r="A88" s="3"/>
      <c r="B88" s="4"/>
    </row>
    <row r="89" spans="1:2" ht="15.75" thickBot="1" x14ac:dyDescent="0.3">
      <c r="A89" s="3"/>
      <c r="B89" s="4"/>
    </row>
    <row r="90" spans="1:2" ht="15.75" thickBot="1" x14ac:dyDescent="0.3">
      <c r="A90" s="3"/>
      <c r="B90" s="4"/>
    </row>
    <row r="91" spans="1:2" ht="15.75" thickBot="1" x14ac:dyDescent="0.3">
      <c r="A91" s="3"/>
      <c r="B91" s="4"/>
    </row>
    <row r="92" spans="1:2" ht="15.75" thickBot="1" x14ac:dyDescent="0.3">
      <c r="A92" s="3"/>
      <c r="B92" s="4"/>
    </row>
    <row r="93" spans="1:2" ht="15.75" thickBot="1" x14ac:dyDescent="0.3">
      <c r="A93" s="3"/>
      <c r="B93" s="4"/>
    </row>
    <row r="94" spans="1:2" ht="15.75" thickBot="1" x14ac:dyDescent="0.3">
      <c r="A94" s="3"/>
      <c r="B94" s="4"/>
    </row>
    <row r="95" spans="1:2" ht="15.75" thickBot="1" x14ac:dyDescent="0.3">
      <c r="A95" s="3"/>
      <c r="B95" s="4"/>
    </row>
    <row r="96" spans="1:2" ht="15.75" thickBot="1" x14ac:dyDescent="0.3">
      <c r="A96" s="3"/>
      <c r="B96" s="4"/>
    </row>
    <row r="97" spans="1:2" ht="15.75" thickBot="1" x14ac:dyDescent="0.3">
      <c r="A97" s="3"/>
      <c r="B97" s="4"/>
    </row>
    <row r="98" spans="1:2" ht="15.75" thickBot="1" x14ac:dyDescent="0.3">
      <c r="A98" s="3"/>
      <c r="B98" s="4"/>
    </row>
    <row r="99" spans="1:2" ht="15.75" thickBot="1" x14ac:dyDescent="0.3">
      <c r="A99" s="3"/>
      <c r="B99" s="4"/>
    </row>
    <row r="100" spans="1:2" ht="15.75" thickBot="1" x14ac:dyDescent="0.3">
      <c r="A100" s="3"/>
      <c r="B100" s="4"/>
    </row>
    <row r="101" spans="1:2" ht="15.75" thickBot="1" x14ac:dyDescent="0.3">
      <c r="A101" s="3"/>
      <c r="B101" s="4"/>
    </row>
    <row r="102" spans="1:2" ht="15.75" thickBot="1" x14ac:dyDescent="0.3">
      <c r="A102" s="3"/>
      <c r="B102" s="4"/>
    </row>
    <row r="103" spans="1:2" ht="15.75" thickBot="1" x14ac:dyDescent="0.3">
      <c r="A103" s="3"/>
      <c r="B103" s="4"/>
    </row>
    <row r="104" spans="1:2" ht="15.75" thickBot="1" x14ac:dyDescent="0.3">
      <c r="A104" s="3"/>
      <c r="B104" s="4"/>
    </row>
    <row r="105" spans="1:2" ht="15.75" thickBot="1" x14ac:dyDescent="0.3">
      <c r="A105" s="3"/>
      <c r="B105" s="4"/>
    </row>
    <row r="106" spans="1:2" ht="15.75" thickBot="1" x14ac:dyDescent="0.3">
      <c r="A106" s="3"/>
      <c r="B106" s="4"/>
    </row>
    <row r="107" spans="1:2" ht="15.75" thickBot="1" x14ac:dyDescent="0.3">
      <c r="A107" s="3"/>
      <c r="B107" s="4"/>
    </row>
    <row r="108" spans="1:2" ht="15.75" thickBot="1" x14ac:dyDescent="0.3">
      <c r="A108" s="3"/>
      <c r="B108" s="4"/>
    </row>
    <row r="109" spans="1:2" ht="15.75" thickBot="1" x14ac:dyDescent="0.3">
      <c r="A109" s="3"/>
      <c r="B109" s="4"/>
    </row>
    <row r="110" spans="1:2" ht="15.75" thickBot="1" x14ac:dyDescent="0.3">
      <c r="A110" s="3"/>
      <c r="B110" s="4"/>
    </row>
    <row r="111" spans="1:2" ht="15.75" thickBot="1" x14ac:dyDescent="0.3">
      <c r="A111" s="3"/>
      <c r="B111" s="4"/>
    </row>
    <row r="112" spans="1:2" ht="15.75" thickBot="1" x14ac:dyDescent="0.3">
      <c r="A112" s="3"/>
      <c r="B112" s="4"/>
    </row>
    <row r="113" spans="1:2" ht="15.75" thickBot="1" x14ac:dyDescent="0.3">
      <c r="A113" s="3"/>
      <c r="B113" s="4"/>
    </row>
    <row r="114" spans="1:2" ht="15.75" thickBot="1" x14ac:dyDescent="0.3">
      <c r="A114" s="3"/>
      <c r="B114" s="4"/>
    </row>
    <row r="115" spans="1:2" ht="15.75" thickBot="1" x14ac:dyDescent="0.3">
      <c r="A115" s="3"/>
      <c r="B115" s="4"/>
    </row>
    <row r="116" spans="1:2" ht="15.75" thickBot="1" x14ac:dyDescent="0.3">
      <c r="A116" s="3"/>
      <c r="B116" s="4"/>
    </row>
    <row r="117" spans="1:2" ht="15.75" thickBot="1" x14ac:dyDescent="0.3">
      <c r="A117" s="3"/>
      <c r="B117" s="4"/>
    </row>
    <row r="118" spans="1:2" ht="15.75" thickBot="1" x14ac:dyDescent="0.3">
      <c r="A118" s="3"/>
      <c r="B118" s="4"/>
    </row>
    <row r="119" spans="1:2" ht="15.75" thickBot="1" x14ac:dyDescent="0.3">
      <c r="A119" s="3"/>
      <c r="B119" s="4"/>
    </row>
    <row r="120" spans="1:2" ht="15.75" thickBot="1" x14ac:dyDescent="0.3">
      <c r="A120" s="3"/>
      <c r="B120" s="4"/>
    </row>
    <row r="121" spans="1:2" ht="15.75" thickBot="1" x14ac:dyDescent="0.3">
      <c r="A121" s="3"/>
      <c r="B121" s="4"/>
    </row>
    <row r="122" spans="1:2" ht="15.75" thickBot="1" x14ac:dyDescent="0.3">
      <c r="A122" s="3"/>
      <c r="B122" s="4"/>
    </row>
    <row r="123" spans="1:2" ht="15.75" thickBot="1" x14ac:dyDescent="0.3">
      <c r="A123" s="3"/>
      <c r="B123" s="4"/>
    </row>
    <row r="124" spans="1:2" ht="15.75" thickBot="1" x14ac:dyDescent="0.3">
      <c r="A124" s="3"/>
      <c r="B124" s="4"/>
    </row>
    <row r="125" spans="1:2" ht="15.75" thickBot="1" x14ac:dyDescent="0.3">
      <c r="A125" s="3"/>
      <c r="B125" s="4"/>
    </row>
    <row r="126" spans="1:2" ht="15.75" thickBot="1" x14ac:dyDescent="0.3">
      <c r="A126" s="3"/>
      <c r="B126" s="4"/>
    </row>
    <row r="127" spans="1:2" ht="15.75" thickBot="1" x14ac:dyDescent="0.3">
      <c r="A127" s="3"/>
      <c r="B127" s="4"/>
    </row>
    <row r="128" spans="1:2" ht="15.75" thickBot="1" x14ac:dyDescent="0.3">
      <c r="A128" s="3"/>
      <c r="B128" s="4"/>
    </row>
    <row r="129" spans="1:2" ht="15.75" thickBot="1" x14ac:dyDescent="0.3">
      <c r="A129" s="3"/>
      <c r="B129" s="4"/>
    </row>
    <row r="130" spans="1:2" ht="15.75" thickBot="1" x14ac:dyDescent="0.3">
      <c r="A130" s="3"/>
      <c r="B130" s="4"/>
    </row>
    <row r="131" spans="1:2" ht="15.75" thickBot="1" x14ac:dyDescent="0.3">
      <c r="A131" s="3"/>
      <c r="B131" s="4"/>
    </row>
    <row r="132" spans="1:2" ht="15.75" thickBot="1" x14ac:dyDescent="0.3">
      <c r="A132" s="3"/>
      <c r="B132" s="4"/>
    </row>
    <row r="133" spans="1:2" ht="15.75" thickBot="1" x14ac:dyDescent="0.3">
      <c r="A133" s="3"/>
      <c r="B133" s="4"/>
    </row>
    <row r="134" spans="1:2" ht="15.75" thickBot="1" x14ac:dyDescent="0.3">
      <c r="A134" s="3"/>
      <c r="B134" s="4"/>
    </row>
    <row r="135" spans="1:2" ht="15.75" thickBot="1" x14ac:dyDescent="0.3">
      <c r="A135" s="3"/>
      <c r="B135" s="4"/>
    </row>
    <row r="136" spans="1:2" ht="15.75" thickBot="1" x14ac:dyDescent="0.3">
      <c r="A136" s="3"/>
      <c r="B136" s="4"/>
    </row>
    <row r="137" spans="1:2" ht="15.75" thickBot="1" x14ac:dyDescent="0.3">
      <c r="A137" s="3"/>
      <c r="B137" s="4"/>
    </row>
    <row r="138" spans="1:2" ht="15.75" thickBot="1" x14ac:dyDescent="0.3">
      <c r="A138" s="3"/>
      <c r="B138" s="4"/>
    </row>
    <row r="139" spans="1:2" ht="15.75" thickBot="1" x14ac:dyDescent="0.3">
      <c r="A139" s="3"/>
      <c r="B139" s="4"/>
    </row>
    <row r="140" spans="1:2" ht="15.75" thickBot="1" x14ac:dyDescent="0.3">
      <c r="A140" s="3"/>
      <c r="B140" s="4"/>
    </row>
    <row r="141" spans="1:2" ht="15.75" thickBot="1" x14ac:dyDescent="0.3">
      <c r="A141" s="3"/>
      <c r="B141" s="4"/>
    </row>
    <row r="142" spans="1:2" ht="15.75" thickBot="1" x14ac:dyDescent="0.3">
      <c r="A142" s="3"/>
      <c r="B142" s="4"/>
    </row>
    <row r="143" spans="1:2" ht="15.75" thickBot="1" x14ac:dyDescent="0.3">
      <c r="A143" s="3"/>
      <c r="B143" s="4"/>
    </row>
    <row r="144" spans="1:2" ht="15.75" thickBot="1" x14ac:dyDescent="0.3">
      <c r="A144" s="3"/>
      <c r="B144" s="4"/>
    </row>
    <row r="145" spans="1:2" ht="15.75" thickBot="1" x14ac:dyDescent="0.3">
      <c r="A145" s="3"/>
      <c r="B145" s="4"/>
    </row>
    <row r="146" spans="1:2" ht="15.75" thickBot="1" x14ac:dyDescent="0.3">
      <c r="A146" s="3"/>
      <c r="B146" s="4"/>
    </row>
    <row r="147" spans="1:2" ht="15.75" thickBot="1" x14ac:dyDescent="0.3">
      <c r="A147" s="3"/>
      <c r="B147" s="4"/>
    </row>
    <row r="148" spans="1:2" ht="15.75" thickBot="1" x14ac:dyDescent="0.3">
      <c r="A148" s="3"/>
      <c r="B148" s="4"/>
    </row>
    <row r="149" spans="1:2" ht="15.75" thickBot="1" x14ac:dyDescent="0.3">
      <c r="A149" s="3"/>
      <c r="B149" s="4"/>
    </row>
    <row r="150" spans="1:2" ht="15.75" thickBot="1" x14ac:dyDescent="0.3">
      <c r="A150" s="3"/>
      <c r="B150" s="4"/>
    </row>
    <row r="151" spans="1:2" ht="15.75" thickBot="1" x14ac:dyDescent="0.3">
      <c r="A151" s="3"/>
      <c r="B151" s="4"/>
    </row>
    <row r="152" spans="1:2" ht="15.75" thickBot="1" x14ac:dyDescent="0.3">
      <c r="A152" s="3"/>
      <c r="B152" s="4"/>
    </row>
    <row r="153" spans="1:2" ht="15.75" thickBot="1" x14ac:dyDescent="0.3">
      <c r="A153" s="3"/>
      <c r="B153" s="4"/>
    </row>
    <row r="154" spans="1:2" ht="15.75" thickBot="1" x14ac:dyDescent="0.3">
      <c r="A154" s="3"/>
      <c r="B154" s="4"/>
    </row>
    <row r="155" spans="1:2" ht="15.75" thickBot="1" x14ac:dyDescent="0.3">
      <c r="A155" s="3"/>
      <c r="B155" s="4"/>
    </row>
    <row r="156" spans="1:2" ht="15.75" thickBot="1" x14ac:dyDescent="0.3">
      <c r="A156" s="3"/>
      <c r="B156" s="4"/>
    </row>
    <row r="157" spans="1:2" ht="15.75" thickBot="1" x14ac:dyDescent="0.3">
      <c r="A157" s="3"/>
      <c r="B157" s="4"/>
    </row>
    <row r="158" spans="1:2" ht="15.75" thickBot="1" x14ac:dyDescent="0.3">
      <c r="A158" s="3"/>
      <c r="B158" s="4"/>
    </row>
    <row r="159" spans="1:2" ht="15.75" thickBot="1" x14ac:dyDescent="0.3">
      <c r="A159" s="3"/>
      <c r="B159" s="4"/>
    </row>
    <row r="160" spans="1:2" ht="15.75" thickBot="1" x14ac:dyDescent="0.3">
      <c r="A160" s="3"/>
      <c r="B160" s="4"/>
    </row>
    <row r="161" spans="1:2" ht="15.75" thickBot="1" x14ac:dyDescent="0.3">
      <c r="A161" s="3"/>
      <c r="B161" s="4"/>
    </row>
    <row r="162" spans="1:2" ht="15.75" thickBot="1" x14ac:dyDescent="0.3">
      <c r="A162" s="3"/>
      <c r="B162" s="4"/>
    </row>
    <row r="163" spans="1:2" ht="15.75" thickBot="1" x14ac:dyDescent="0.3">
      <c r="A163" s="3"/>
      <c r="B163" s="4"/>
    </row>
    <row r="164" spans="1:2" ht="15.75" thickBot="1" x14ac:dyDescent="0.3">
      <c r="A164" s="3"/>
      <c r="B164" s="4"/>
    </row>
    <row r="165" spans="1:2" ht="15.75" thickBot="1" x14ac:dyDescent="0.3">
      <c r="A165" s="3"/>
      <c r="B165" s="4"/>
    </row>
    <row r="166" spans="1:2" ht="15.75" thickBot="1" x14ac:dyDescent="0.3">
      <c r="A166" s="3"/>
      <c r="B166" s="4"/>
    </row>
    <row r="167" spans="1:2" ht="15.75" thickBot="1" x14ac:dyDescent="0.3">
      <c r="A167" s="3"/>
      <c r="B167" s="4"/>
    </row>
    <row r="168" spans="1:2" ht="15.75" thickBot="1" x14ac:dyDescent="0.3">
      <c r="A168" s="3"/>
      <c r="B168" s="4"/>
    </row>
    <row r="169" spans="1:2" ht="15.75" thickBot="1" x14ac:dyDescent="0.3">
      <c r="A169" s="3"/>
      <c r="B169" s="4"/>
    </row>
    <row r="170" spans="1:2" ht="15.75" thickBot="1" x14ac:dyDescent="0.3">
      <c r="A170" s="3"/>
      <c r="B170" s="4"/>
    </row>
    <row r="171" spans="1:2" ht="15.75" thickBot="1" x14ac:dyDescent="0.3">
      <c r="A171" s="3"/>
      <c r="B171" s="4"/>
    </row>
    <row r="172" spans="1:2" ht="15.75" thickBot="1" x14ac:dyDescent="0.3">
      <c r="A172" s="3"/>
      <c r="B172" s="4"/>
    </row>
    <row r="173" spans="1:2" ht="15.75" thickBot="1" x14ac:dyDescent="0.3">
      <c r="A173" s="3"/>
      <c r="B173" s="4"/>
    </row>
    <row r="174" spans="1:2" ht="15.75" thickBot="1" x14ac:dyDescent="0.3">
      <c r="A174" s="3"/>
      <c r="B174" s="4"/>
    </row>
    <row r="175" spans="1:2" ht="15.75" thickBot="1" x14ac:dyDescent="0.3">
      <c r="A175" s="3"/>
      <c r="B175" s="4"/>
    </row>
    <row r="176" spans="1:2" ht="15.75" thickBot="1" x14ac:dyDescent="0.3">
      <c r="A176" s="3"/>
      <c r="B176" s="4"/>
    </row>
    <row r="177" spans="1:2" ht="15.75" thickBot="1" x14ac:dyDescent="0.3">
      <c r="A177" s="3"/>
      <c r="B177" s="4"/>
    </row>
    <row r="178" spans="1:2" ht="15.75" thickBot="1" x14ac:dyDescent="0.3">
      <c r="A178" s="3"/>
      <c r="B178" s="4"/>
    </row>
    <row r="179" spans="1:2" ht="15.75" thickBot="1" x14ac:dyDescent="0.3">
      <c r="A179" s="3"/>
      <c r="B179" s="4"/>
    </row>
    <row r="180" spans="1:2" ht="15.75" thickBot="1" x14ac:dyDescent="0.3">
      <c r="A180" s="3"/>
      <c r="B180" s="4"/>
    </row>
    <row r="181" spans="1:2" ht="15.75" thickBot="1" x14ac:dyDescent="0.3">
      <c r="A181" s="3"/>
      <c r="B181" s="4"/>
    </row>
    <row r="182" spans="1:2" ht="15.75" thickBot="1" x14ac:dyDescent="0.3">
      <c r="A182" s="3"/>
      <c r="B182" s="4"/>
    </row>
    <row r="183" spans="1:2" ht="15.75" thickBot="1" x14ac:dyDescent="0.3">
      <c r="A183" s="3"/>
      <c r="B183" s="4"/>
    </row>
    <row r="184" spans="1:2" ht="15.75" thickBot="1" x14ac:dyDescent="0.3">
      <c r="A184" s="3"/>
      <c r="B184" s="4"/>
    </row>
    <row r="185" spans="1:2" ht="15.75" thickBot="1" x14ac:dyDescent="0.3">
      <c r="A185" s="3"/>
      <c r="B185" s="4"/>
    </row>
    <row r="186" spans="1:2" ht="15.75" thickBot="1" x14ac:dyDescent="0.3">
      <c r="A186" s="3"/>
      <c r="B186" s="4"/>
    </row>
    <row r="187" spans="1:2" ht="15.75" thickBot="1" x14ac:dyDescent="0.3">
      <c r="A187" s="3"/>
      <c r="B187" s="4"/>
    </row>
    <row r="188" spans="1:2" ht="15.75" thickBot="1" x14ac:dyDescent="0.3">
      <c r="A188" s="3"/>
      <c r="B188" s="4"/>
    </row>
    <row r="189" spans="1:2" ht="15.75" thickBot="1" x14ac:dyDescent="0.3">
      <c r="A189" s="3"/>
      <c r="B189" s="4"/>
    </row>
    <row r="190" spans="1:2" ht="15.75" thickBot="1" x14ac:dyDescent="0.3">
      <c r="A190" s="3"/>
      <c r="B190" s="4"/>
    </row>
    <row r="191" spans="1:2" ht="15.75" thickBot="1" x14ac:dyDescent="0.3">
      <c r="A191" s="3"/>
      <c r="B191" s="4"/>
    </row>
    <row r="192" spans="1:2" ht="15.75" thickBot="1" x14ac:dyDescent="0.3">
      <c r="A192" s="3"/>
      <c r="B192" s="4"/>
    </row>
    <row r="193" spans="1:2" ht="15.75" thickBot="1" x14ac:dyDescent="0.3">
      <c r="A193" s="3"/>
      <c r="B193" s="4"/>
    </row>
    <row r="194" spans="1:2" ht="15.75" thickBot="1" x14ac:dyDescent="0.3">
      <c r="A194" s="3"/>
      <c r="B194" s="4"/>
    </row>
    <row r="195" spans="1:2" ht="15.75" thickBot="1" x14ac:dyDescent="0.3">
      <c r="A195" s="3"/>
      <c r="B195" s="4"/>
    </row>
    <row r="196" spans="1:2" ht="15.75" thickBot="1" x14ac:dyDescent="0.3">
      <c r="A196" s="3"/>
      <c r="B196" s="4"/>
    </row>
    <row r="197" spans="1:2" ht="15.75" thickBot="1" x14ac:dyDescent="0.3">
      <c r="A197" s="3"/>
      <c r="B197" s="4"/>
    </row>
    <row r="198" spans="1:2" ht="15.75" thickBot="1" x14ac:dyDescent="0.3">
      <c r="A198" s="3"/>
      <c r="B198" s="4"/>
    </row>
    <row r="199" spans="1:2" ht="15.75" thickBot="1" x14ac:dyDescent="0.3">
      <c r="A199" s="3"/>
      <c r="B199" s="4"/>
    </row>
    <row r="200" spans="1:2" ht="15.75" thickBot="1" x14ac:dyDescent="0.3">
      <c r="A200" s="3"/>
      <c r="B200" s="4"/>
    </row>
    <row r="201" spans="1:2" ht="15.75" thickBot="1" x14ac:dyDescent="0.3">
      <c r="A201" s="3"/>
      <c r="B201" s="4"/>
    </row>
    <row r="202" spans="1:2" ht="15.75" thickBot="1" x14ac:dyDescent="0.3">
      <c r="A202" s="3"/>
      <c r="B202" s="4"/>
    </row>
    <row r="203" spans="1:2" ht="15.75" thickBot="1" x14ac:dyDescent="0.3">
      <c r="A203" s="3"/>
      <c r="B203" s="4"/>
    </row>
    <row r="204" spans="1:2" ht="15.75" thickBot="1" x14ac:dyDescent="0.3">
      <c r="A204" s="3"/>
      <c r="B204" s="4"/>
    </row>
    <row r="205" spans="1:2" ht="15.75" thickBot="1" x14ac:dyDescent="0.3">
      <c r="A205" s="3"/>
      <c r="B205" s="4"/>
    </row>
    <row r="206" spans="1:2" ht="15.75" thickBot="1" x14ac:dyDescent="0.3">
      <c r="A206" s="3"/>
      <c r="B206" s="4"/>
    </row>
    <row r="207" spans="1:2" ht="15.75" thickBot="1" x14ac:dyDescent="0.3">
      <c r="A207" s="3"/>
      <c r="B207" s="4"/>
    </row>
    <row r="208" spans="1:2" ht="15.75" thickBot="1" x14ac:dyDescent="0.3">
      <c r="A208" s="3"/>
      <c r="B208" s="4"/>
    </row>
    <row r="209" spans="1:2" ht="15.75" thickBot="1" x14ac:dyDescent="0.3">
      <c r="A209" s="3"/>
      <c r="B209" s="4"/>
    </row>
    <row r="210" spans="1:2" ht="15.75" thickBot="1" x14ac:dyDescent="0.3">
      <c r="A210" s="3"/>
      <c r="B210" s="4"/>
    </row>
    <row r="211" spans="1:2" ht="15.75" thickBot="1" x14ac:dyDescent="0.3">
      <c r="A211" s="3"/>
      <c r="B211" s="4"/>
    </row>
    <row r="212" spans="1:2" ht="15.75" thickBot="1" x14ac:dyDescent="0.3">
      <c r="A212" s="3"/>
      <c r="B212" s="4"/>
    </row>
    <row r="213" spans="1:2" ht="15.75" thickBot="1" x14ac:dyDescent="0.3">
      <c r="A213" s="3"/>
      <c r="B213" s="4"/>
    </row>
    <row r="214" spans="1:2" ht="15.75" thickBot="1" x14ac:dyDescent="0.3">
      <c r="A214" s="3"/>
      <c r="B214" s="4"/>
    </row>
    <row r="215" spans="1:2" ht="15.75" thickBot="1" x14ac:dyDescent="0.3">
      <c r="A215" s="3"/>
      <c r="B215" s="4"/>
    </row>
    <row r="216" spans="1:2" ht="15.75" thickBot="1" x14ac:dyDescent="0.3">
      <c r="A216" s="3"/>
      <c r="B216" s="4"/>
    </row>
    <row r="217" spans="1:2" ht="15.75" thickBot="1" x14ac:dyDescent="0.3">
      <c r="A217" s="3"/>
      <c r="B217" s="4"/>
    </row>
    <row r="218" spans="1:2" ht="15.75" thickBot="1" x14ac:dyDescent="0.3">
      <c r="A218" s="3"/>
      <c r="B218" s="4"/>
    </row>
    <row r="219" spans="1:2" ht="15.75" thickBot="1" x14ac:dyDescent="0.3">
      <c r="A219" s="3"/>
      <c r="B219" s="4"/>
    </row>
    <row r="220" spans="1:2" ht="15.75" thickBot="1" x14ac:dyDescent="0.3">
      <c r="A220" s="3"/>
      <c r="B220" s="4"/>
    </row>
    <row r="221" spans="1:2" ht="15.75" thickBot="1" x14ac:dyDescent="0.3">
      <c r="A221" s="3"/>
      <c r="B221" s="4"/>
    </row>
    <row r="222" spans="1:2" ht="15.75" thickBot="1" x14ac:dyDescent="0.3">
      <c r="A222" s="3"/>
      <c r="B222" s="4"/>
    </row>
    <row r="223" spans="1:2" ht="15.75" thickBot="1" x14ac:dyDescent="0.3">
      <c r="A223" s="3"/>
      <c r="B223" s="4"/>
    </row>
    <row r="224" spans="1:2" ht="15.75" thickBot="1" x14ac:dyDescent="0.3">
      <c r="A224" s="3"/>
      <c r="B224" s="4"/>
    </row>
    <row r="225" spans="1:2" ht="15.75" thickBot="1" x14ac:dyDescent="0.3">
      <c r="A225" s="3"/>
      <c r="B225" s="4"/>
    </row>
    <row r="226" spans="1:2" ht="15.75" thickBot="1" x14ac:dyDescent="0.3">
      <c r="A226" s="3"/>
      <c r="B226" s="4"/>
    </row>
    <row r="227" spans="1:2" ht="15.75" thickBot="1" x14ac:dyDescent="0.3">
      <c r="A227" s="3"/>
      <c r="B227" s="4"/>
    </row>
    <row r="228" spans="1:2" ht="15.75" thickBot="1" x14ac:dyDescent="0.3">
      <c r="A228" s="3"/>
      <c r="B228" s="4"/>
    </row>
    <row r="229" spans="1:2" ht="15.75" thickBot="1" x14ac:dyDescent="0.3">
      <c r="A229" s="3"/>
      <c r="B229" s="4"/>
    </row>
    <row r="230" spans="1:2" ht="15.75" thickBot="1" x14ac:dyDescent="0.3">
      <c r="A230" s="3"/>
      <c r="B230" s="4"/>
    </row>
    <row r="231" spans="1:2" ht="15.75" thickBot="1" x14ac:dyDescent="0.3">
      <c r="A231" s="3"/>
      <c r="B231" s="4"/>
    </row>
    <row r="232" spans="1:2" ht="15.75" thickBot="1" x14ac:dyDescent="0.3">
      <c r="A232" s="3"/>
      <c r="B232" s="4"/>
    </row>
    <row r="233" spans="1:2" ht="15.75" thickBot="1" x14ac:dyDescent="0.3">
      <c r="A233" s="3"/>
      <c r="B233" s="4"/>
    </row>
    <row r="234" spans="1:2" ht="15.75" thickBot="1" x14ac:dyDescent="0.3">
      <c r="A234" s="3"/>
      <c r="B234" s="4"/>
    </row>
    <row r="235" spans="1:2" ht="15.75" thickBot="1" x14ac:dyDescent="0.3">
      <c r="A235" s="3"/>
      <c r="B235" s="4"/>
    </row>
    <row r="236" spans="1:2" ht="15.75" thickBot="1" x14ac:dyDescent="0.3">
      <c r="A236" s="3"/>
      <c r="B236" s="4"/>
    </row>
    <row r="237" spans="1:2" ht="15.75" thickBot="1" x14ac:dyDescent="0.3">
      <c r="A237" s="3"/>
      <c r="B237" s="4"/>
    </row>
    <row r="238" spans="1:2" ht="15.75" thickBot="1" x14ac:dyDescent="0.3">
      <c r="A238" s="3"/>
      <c r="B238" s="4"/>
    </row>
    <row r="239" spans="1:2" ht="15.75" thickBot="1" x14ac:dyDescent="0.3">
      <c r="A239" s="3"/>
      <c r="B239" s="4"/>
    </row>
    <row r="240" spans="1:2" ht="15.75" thickBot="1" x14ac:dyDescent="0.3">
      <c r="A240" s="3"/>
      <c r="B240" s="4"/>
    </row>
    <row r="241" spans="1:2" ht="15.75" thickBot="1" x14ac:dyDescent="0.3">
      <c r="A241" s="3"/>
      <c r="B241" s="4"/>
    </row>
    <row r="242" spans="1:2" ht="15.75" thickBot="1" x14ac:dyDescent="0.3">
      <c r="A242" s="3"/>
      <c r="B242" s="4"/>
    </row>
    <row r="243" spans="1:2" ht="15.75" thickBot="1" x14ac:dyDescent="0.3">
      <c r="A243" s="3"/>
      <c r="B243" s="4"/>
    </row>
    <row r="244" spans="1:2" ht="15.75" thickBot="1" x14ac:dyDescent="0.3">
      <c r="A244" s="3"/>
      <c r="B244" s="4"/>
    </row>
    <row r="245" spans="1:2" ht="15.75" thickBot="1" x14ac:dyDescent="0.3">
      <c r="A245" s="3"/>
      <c r="B245" s="4"/>
    </row>
    <row r="246" spans="1:2" ht="15.75" thickBot="1" x14ac:dyDescent="0.3">
      <c r="A246" s="3"/>
      <c r="B246" s="4"/>
    </row>
    <row r="247" spans="1:2" ht="15.75" thickBot="1" x14ac:dyDescent="0.3">
      <c r="A247" s="3"/>
      <c r="B247" s="4"/>
    </row>
    <row r="248" spans="1:2" ht="15.75" thickBot="1" x14ac:dyDescent="0.3">
      <c r="A248" s="3"/>
      <c r="B248" s="4"/>
    </row>
    <row r="249" spans="1:2" ht="15.75" thickBot="1" x14ac:dyDescent="0.3">
      <c r="A249" s="3"/>
      <c r="B249" s="4"/>
    </row>
    <row r="250" spans="1:2" ht="15.75" thickBot="1" x14ac:dyDescent="0.3">
      <c r="A250" s="3"/>
      <c r="B250" s="4"/>
    </row>
    <row r="251" spans="1:2" ht="15.75" thickBot="1" x14ac:dyDescent="0.3">
      <c r="A251" s="3"/>
      <c r="B251" s="4"/>
    </row>
    <row r="252" spans="1:2" ht="15.75" thickBot="1" x14ac:dyDescent="0.3">
      <c r="A252" s="3"/>
      <c r="B252" s="4"/>
    </row>
    <row r="253" spans="1:2" ht="15.75" thickBot="1" x14ac:dyDescent="0.3">
      <c r="A253" s="3"/>
      <c r="B253" s="4"/>
    </row>
    <row r="254" spans="1:2" ht="15.75" thickBot="1" x14ac:dyDescent="0.3">
      <c r="A254" s="3"/>
      <c r="B254" s="4"/>
    </row>
    <row r="255" spans="1:2" ht="15.75" thickBot="1" x14ac:dyDescent="0.3">
      <c r="A255" s="3"/>
      <c r="B255" s="4"/>
    </row>
    <row r="256" spans="1:2" ht="15.75" thickBot="1" x14ac:dyDescent="0.3">
      <c r="A256" s="3"/>
      <c r="B256" s="4"/>
    </row>
    <row r="257" spans="1:2" ht="15.75" thickBot="1" x14ac:dyDescent="0.3">
      <c r="A257" s="3"/>
      <c r="B257" s="4"/>
    </row>
    <row r="258" spans="1:2" ht="15.75" thickBot="1" x14ac:dyDescent="0.3">
      <c r="A258" s="3"/>
      <c r="B258" s="4"/>
    </row>
    <row r="259" spans="1:2" ht="15.75" thickBot="1" x14ac:dyDescent="0.3">
      <c r="A259" s="3"/>
      <c r="B259" s="4"/>
    </row>
    <row r="260" spans="1:2" ht="15.75" thickBot="1" x14ac:dyDescent="0.3">
      <c r="A260" s="3"/>
      <c r="B260" s="4"/>
    </row>
    <row r="261" spans="1:2" ht="15.75" thickBot="1" x14ac:dyDescent="0.3">
      <c r="A261" s="3"/>
      <c r="B261" s="4"/>
    </row>
    <row r="262" spans="1:2" ht="15.75" thickBot="1" x14ac:dyDescent="0.3">
      <c r="A262" s="3"/>
      <c r="B262" s="4"/>
    </row>
    <row r="263" spans="1:2" ht="15.75" thickBot="1" x14ac:dyDescent="0.3">
      <c r="A263" s="3"/>
      <c r="B263" s="4"/>
    </row>
    <row r="264" spans="1:2" ht="15.75" thickBot="1" x14ac:dyDescent="0.3">
      <c r="A264" s="3"/>
      <c r="B264" s="4"/>
    </row>
    <row r="265" spans="1:2" ht="15.75" thickBot="1" x14ac:dyDescent="0.3">
      <c r="A265" s="3"/>
      <c r="B265" s="4"/>
    </row>
    <row r="266" spans="1:2" ht="15.75" thickBot="1" x14ac:dyDescent="0.3">
      <c r="A266" s="3"/>
      <c r="B266" s="4"/>
    </row>
    <row r="267" spans="1:2" ht="15.75" thickBot="1" x14ac:dyDescent="0.3">
      <c r="A267" s="3"/>
      <c r="B267" s="4"/>
    </row>
    <row r="268" spans="1:2" ht="15.75" thickBot="1" x14ac:dyDescent="0.3">
      <c r="A268" s="3"/>
      <c r="B268" s="4"/>
    </row>
    <row r="269" spans="1:2" ht="15.75" thickBot="1" x14ac:dyDescent="0.3">
      <c r="A269" s="3"/>
      <c r="B269" s="4"/>
    </row>
    <row r="270" spans="1:2" ht="15.75" thickBot="1" x14ac:dyDescent="0.3">
      <c r="A270" s="3"/>
      <c r="B270" s="4"/>
    </row>
    <row r="271" spans="1:2" ht="15.75" thickBot="1" x14ac:dyDescent="0.3">
      <c r="A271" s="3"/>
      <c r="B271" s="4"/>
    </row>
    <row r="272" spans="1:2" ht="15.75" thickBot="1" x14ac:dyDescent="0.3">
      <c r="A272" s="3"/>
      <c r="B272" s="4"/>
    </row>
    <row r="273" spans="1:2" ht="15.75" thickBot="1" x14ac:dyDescent="0.3">
      <c r="A273" s="3"/>
      <c r="B273" s="4"/>
    </row>
    <row r="274" spans="1:2" ht="15.75" thickBot="1" x14ac:dyDescent="0.3">
      <c r="A274" s="3"/>
      <c r="B274" s="4"/>
    </row>
    <row r="275" spans="1:2" ht="15.75" thickBot="1" x14ac:dyDescent="0.3">
      <c r="A275" s="3"/>
      <c r="B275" s="4"/>
    </row>
    <row r="276" spans="1:2" ht="15.75" thickBot="1" x14ac:dyDescent="0.3">
      <c r="A276" s="3"/>
      <c r="B276" s="4"/>
    </row>
    <row r="277" spans="1:2" ht="15.75" thickBot="1" x14ac:dyDescent="0.3">
      <c r="A277" s="3"/>
      <c r="B277" s="4"/>
    </row>
    <row r="278" spans="1:2" ht="15.75" thickBot="1" x14ac:dyDescent="0.3">
      <c r="A278" s="3"/>
      <c r="B278" s="4"/>
    </row>
    <row r="279" spans="1:2" ht="15.75" thickBot="1" x14ac:dyDescent="0.3">
      <c r="A279" s="3"/>
      <c r="B279" s="4"/>
    </row>
    <row r="280" spans="1:2" ht="15.75" thickBot="1" x14ac:dyDescent="0.3">
      <c r="A280" s="3"/>
      <c r="B280" s="4"/>
    </row>
    <row r="281" spans="1:2" ht="15.75" thickBot="1" x14ac:dyDescent="0.3">
      <c r="A281" s="3"/>
      <c r="B281" s="4"/>
    </row>
    <row r="282" spans="1:2" ht="15.75" thickBot="1" x14ac:dyDescent="0.3">
      <c r="A282" s="3"/>
      <c r="B282" s="4"/>
    </row>
    <row r="283" spans="1:2" ht="15.75" thickBot="1" x14ac:dyDescent="0.3">
      <c r="A283" s="3"/>
      <c r="B283" s="4"/>
    </row>
    <row r="284" spans="1:2" ht="15.75" thickBot="1" x14ac:dyDescent="0.3">
      <c r="A284" s="3"/>
      <c r="B284" s="4"/>
    </row>
    <row r="285" spans="1:2" ht="15.75" thickBot="1" x14ac:dyDescent="0.3">
      <c r="A285" s="3"/>
      <c r="B285" s="4"/>
    </row>
    <row r="286" spans="1:2" ht="15.75" thickBot="1" x14ac:dyDescent="0.3">
      <c r="A286" s="3"/>
      <c r="B286" s="4"/>
    </row>
    <row r="287" spans="1:2" ht="15.75" thickBot="1" x14ac:dyDescent="0.3">
      <c r="A287" s="3"/>
      <c r="B287" s="4"/>
    </row>
    <row r="288" spans="1:2" ht="15.75" thickBot="1" x14ac:dyDescent="0.3">
      <c r="A288" s="3"/>
      <c r="B288" s="4"/>
    </row>
    <row r="289" spans="1:2" ht="15.75" thickBot="1" x14ac:dyDescent="0.3">
      <c r="A289" s="3"/>
      <c r="B289" s="4"/>
    </row>
    <row r="290" spans="1:2" ht="15.75" thickBot="1" x14ac:dyDescent="0.3">
      <c r="A290" s="3"/>
      <c r="B290" s="4"/>
    </row>
    <row r="291" spans="1:2" ht="15.75" thickBot="1" x14ac:dyDescent="0.3">
      <c r="A291" s="3"/>
      <c r="B291" s="4"/>
    </row>
    <row r="292" spans="1:2" ht="15.75" thickBot="1" x14ac:dyDescent="0.3">
      <c r="A292" s="3"/>
      <c r="B292" s="4"/>
    </row>
    <row r="293" spans="1:2" ht="15.75" thickBot="1" x14ac:dyDescent="0.3">
      <c r="A293" s="3"/>
      <c r="B293" s="4"/>
    </row>
    <row r="294" spans="1:2" ht="15.75" thickBot="1" x14ac:dyDescent="0.3">
      <c r="A294" s="3"/>
      <c r="B294" s="4"/>
    </row>
    <row r="295" spans="1:2" ht="15.75" thickBot="1" x14ac:dyDescent="0.3">
      <c r="A295" s="3"/>
      <c r="B295" s="4"/>
    </row>
    <row r="296" spans="1:2" ht="15.75" thickBot="1" x14ac:dyDescent="0.3">
      <c r="A296" s="3"/>
      <c r="B296" s="4"/>
    </row>
    <row r="297" spans="1:2" ht="15.75" thickBot="1" x14ac:dyDescent="0.3">
      <c r="A297" s="3"/>
      <c r="B297" s="4"/>
    </row>
    <row r="298" spans="1:2" ht="15.75" thickBot="1" x14ac:dyDescent="0.3">
      <c r="A298" s="3"/>
      <c r="B298" s="4"/>
    </row>
    <row r="299" spans="1:2" ht="15.75" thickBot="1" x14ac:dyDescent="0.3">
      <c r="A299" s="3"/>
      <c r="B299" s="4"/>
    </row>
    <row r="300" spans="1:2" ht="15.75" thickBot="1" x14ac:dyDescent="0.3">
      <c r="A300" s="3"/>
      <c r="B300" s="4"/>
    </row>
    <row r="301" spans="1:2" ht="15.75" thickBot="1" x14ac:dyDescent="0.3">
      <c r="A301" s="3"/>
      <c r="B301" s="4"/>
    </row>
    <row r="302" spans="1:2" ht="15.75" thickBot="1" x14ac:dyDescent="0.3">
      <c r="A302" s="3"/>
      <c r="B302" s="4"/>
    </row>
    <row r="303" spans="1:2" ht="15.75" thickBot="1" x14ac:dyDescent="0.3">
      <c r="A303" s="3"/>
      <c r="B303" s="4"/>
    </row>
    <row r="304" spans="1:2" ht="15.75" thickBot="1" x14ac:dyDescent="0.3">
      <c r="A304" s="3"/>
      <c r="B304" s="4"/>
    </row>
    <row r="305" spans="1:2" ht="15.75" thickBot="1" x14ac:dyDescent="0.3">
      <c r="A305" s="3"/>
      <c r="B305" s="4"/>
    </row>
    <row r="306" spans="1:2" ht="15.75" thickBot="1" x14ac:dyDescent="0.3">
      <c r="A306" s="3"/>
      <c r="B306" s="4"/>
    </row>
    <row r="307" spans="1:2" ht="15.75" thickBot="1" x14ac:dyDescent="0.3">
      <c r="A307" s="3"/>
      <c r="B307" s="4"/>
    </row>
    <row r="308" spans="1:2" ht="15.75" thickBot="1" x14ac:dyDescent="0.3">
      <c r="A308" s="3"/>
      <c r="B308" s="4"/>
    </row>
    <row r="309" spans="1:2" ht="15.75" thickBot="1" x14ac:dyDescent="0.3">
      <c r="A309" s="3"/>
      <c r="B309" s="4"/>
    </row>
    <row r="310" spans="1:2" ht="15.75" thickBot="1" x14ac:dyDescent="0.3">
      <c r="A310" s="3"/>
      <c r="B310" s="4"/>
    </row>
    <row r="311" spans="1:2" ht="15.75" thickBot="1" x14ac:dyDescent="0.3">
      <c r="A311" s="3"/>
      <c r="B311" s="4"/>
    </row>
    <row r="312" spans="1:2" ht="15.75" thickBot="1" x14ac:dyDescent="0.3">
      <c r="A312" s="3"/>
      <c r="B312" s="4"/>
    </row>
    <row r="313" spans="1:2" ht="15.75" thickBot="1" x14ac:dyDescent="0.3">
      <c r="A313" s="3"/>
      <c r="B313" s="4"/>
    </row>
    <row r="314" spans="1:2" ht="15.75" thickBot="1" x14ac:dyDescent="0.3">
      <c r="A314" s="3"/>
      <c r="B314" s="4"/>
    </row>
    <row r="315" spans="1:2" ht="15.75" thickBot="1" x14ac:dyDescent="0.3">
      <c r="A315" s="3"/>
      <c r="B315" s="4"/>
    </row>
    <row r="316" spans="1:2" ht="15.75" thickBot="1" x14ac:dyDescent="0.3">
      <c r="A316" s="3"/>
      <c r="B316" s="4"/>
    </row>
    <row r="317" spans="1:2" ht="15.75" thickBot="1" x14ac:dyDescent="0.3">
      <c r="A317" s="3"/>
      <c r="B317" s="4"/>
    </row>
    <row r="318" spans="1:2" ht="15.75" thickBot="1" x14ac:dyDescent="0.3">
      <c r="A318" s="3"/>
      <c r="B318" s="4"/>
    </row>
    <row r="319" spans="1:2" ht="15.75" thickBot="1" x14ac:dyDescent="0.3">
      <c r="A319" s="3"/>
      <c r="B319" s="4"/>
    </row>
    <row r="320" spans="1:2" ht="15.75" thickBot="1" x14ac:dyDescent="0.3">
      <c r="A320" s="3"/>
      <c r="B320" s="4"/>
    </row>
    <row r="321" spans="1:2" ht="15.75" thickBot="1" x14ac:dyDescent="0.3">
      <c r="A321" s="3"/>
      <c r="B321" s="4"/>
    </row>
    <row r="322" spans="1:2" ht="15.75" thickBot="1" x14ac:dyDescent="0.3">
      <c r="A322" s="3"/>
      <c r="B322" s="4"/>
    </row>
    <row r="323" spans="1:2" ht="15.75" thickBot="1" x14ac:dyDescent="0.3">
      <c r="A323" s="3"/>
      <c r="B323" s="4"/>
    </row>
    <row r="324" spans="1:2" ht="15.75" thickBot="1" x14ac:dyDescent="0.3">
      <c r="A324" s="3"/>
      <c r="B324" s="4"/>
    </row>
    <row r="325" spans="1:2" ht="15.75" thickBot="1" x14ac:dyDescent="0.3">
      <c r="A325" s="3"/>
      <c r="B325" s="4"/>
    </row>
    <row r="326" spans="1:2" ht="15.75" thickBot="1" x14ac:dyDescent="0.3">
      <c r="A326" s="3"/>
      <c r="B326" s="4"/>
    </row>
    <row r="327" spans="1:2" ht="15.75" thickBot="1" x14ac:dyDescent="0.3">
      <c r="A327" s="3"/>
      <c r="B327" s="4"/>
    </row>
    <row r="328" spans="1:2" ht="15.75" thickBot="1" x14ac:dyDescent="0.3">
      <c r="A328" s="3"/>
      <c r="B328" s="4"/>
    </row>
    <row r="329" spans="1:2" ht="15.75" thickBot="1" x14ac:dyDescent="0.3">
      <c r="A329" s="3"/>
      <c r="B329" s="4"/>
    </row>
    <row r="330" spans="1:2" ht="15.75" thickBot="1" x14ac:dyDescent="0.3">
      <c r="A330" s="3"/>
      <c r="B330" s="4"/>
    </row>
    <row r="331" spans="1:2" ht="15.75" thickBot="1" x14ac:dyDescent="0.3">
      <c r="A331" s="3"/>
      <c r="B331" s="4"/>
    </row>
    <row r="332" spans="1:2" ht="15.75" thickBot="1" x14ac:dyDescent="0.3">
      <c r="A332" s="3"/>
      <c r="B332" s="4"/>
    </row>
    <row r="333" spans="1:2" ht="15.75" thickBot="1" x14ac:dyDescent="0.3">
      <c r="A333" s="3"/>
      <c r="B333" s="4"/>
    </row>
    <row r="334" spans="1:2" ht="15.75" thickBot="1" x14ac:dyDescent="0.3">
      <c r="A334" s="3"/>
      <c r="B334" s="4"/>
    </row>
    <row r="335" spans="1:2" ht="15.75" thickBot="1" x14ac:dyDescent="0.3">
      <c r="A335" s="3"/>
      <c r="B335" s="4"/>
    </row>
    <row r="336" spans="1:2" ht="15.75" thickBot="1" x14ac:dyDescent="0.3">
      <c r="A336" s="3"/>
      <c r="B336" s="4"/>
    </row>
    <row r="337" spans="1:2" ht="15.75" thickBot="1" x14ac:dyDescent="0.3">
      <c r="A337" s="3"/>
      <c r="B337" s="4"/>
    </row>
    <row r="338" spans="1:2" ht="15.75" thickBot="1" x14ac:dyDescent="0.3">
      <c r="A338" s="3"/>
      <c r="B338" s="4"/>
    </row>
    <row r="339" spans="1:2" ht="15.75" thickBot="1" x14ac:dyDescent="0.3">
      <c r="A339" s="3"/>
      <c r="B339" s="4"/>
    </row>
    <row r="340" spans="1:2" ht="15.75" thickBot="1" x14ac:dyDescent="0.3">
      <c r="A340" s="3"/>
      <c r="B340" s="4"/>
    </row>
    <row r="341" spans="1:2" ht="15.75" thickBot="1" x14ac:dyDescent="0.3">
      <c r="A341" s="3"/>
      <c r="B341" s="4"/>
    </row>
    <row r="342" spans="1:2" ht="15.75" thickBot="1" x14ac:dyDescent="0.3">
      <c r="A342" s="3"/>
      <c r="B342" s="4"/>
    </row>
    <row r="343" spans="1:2" ht="15.75" thickBot="1" x14ac:dyDescent="0.3">
      <c r="A343" s="3"/>
      <c r="B343" s="4"/>
    </row>
    <row r="344" spans="1:2" ht="15.75" thickBot="1" x14ac:dyDescent="0.3">
      <c r="A344" s="3"/>
      <c r="B344" s="4"/>
    </row>
    <row r="345" spans="1:2" ht="15.75" thickBot="1" x14ac:dyDescent="0.3">
      <c r="A345" s="3"/>
      <c r="B345" s="4"/>
    </row>
    <row r="346" spans="1:2" ht="15.75" thickBot="1" x14ac:dyDescent="0.3">
      <c r="A346" s="3"/>
      <c r="B346" s="4"/>
    </row>
    <row r="347" spans="1:2" ht="15.75" thickBot="1" x14ac:dyDescent="0.3">
      <c r="A347" s="3"/>
      <c r="B347" s="4"/>
    </row>
    <row r="348" spans="1:2" ht="15.75" thickBot="1" x14ac:dyDescent="0.3">
      <c r="A348" s="3"/>
      <c r="B348" s="4"/>
    </row>
    <row r="349" spans="1:2" ht="15.75" thickBot="1" x14ac:dyDescent="0.3">
      <c r="A349" s="3"/>
      <c r="B349" s="4"/>
    </row>
    <row r="350" spans="1:2" ht="15.75" thickBot="1" x14ac:dyDescent="0.3">
      <c r="A350" s="3"/>
      <c r="B350" s="4"/>
    </row>
    <row r="351" spans="1:2" ht="15.75" thickBot="1" x14ac:dyDescent="0.3">
      <c r="A351" s="3"/>
      <c r="B351" s="4"/>
    </row>
    <row r="352" spans="1:2" ht="15.75" thickBot="1" x14ac:dyDescent="0.3">
      <c r="A352" s="3"/>
      <c r="B352" s="4"/>
    </row>
    <row r="353" spans="1:2" ht="15.75" thickBot="1" x14ac:dyDescent="0.3">
      <c r="A353" s="3"/>
      <c r="B353" s="4"/>
    </row>
    <row r="354" spans="1:2" ht="15.75" thickBot="1" x14ac:dyDescent="0.3">
      <c r="A354" s="3"/>
      <c r="B354" s="4"/>
    </row>
    <row r="355" spans="1:2" ht="15.75" thickBot="1" x14ac:dyDescent="0.3">
      <c r="A355" s="3"/>
      <c r="B355" s="4"/>
    </row>
    <row r="356" spans="1:2" ht="15.75" thickBot="1" x14ac:dyDescent="0.3">
      <c r="A356" s="3"/>
      <c r="B356" s="4"/>
    </row>
    <row r="357" spans="1:2" ht="15.75" thickBot="1" x14ac:dyDescent="0.3">
      <c r="A357" s="3"/>
      <c r="B357" s="4"/>
    </row>
    <row r="358" spans="1:2" ht="15.75" thickBot="1" x14ac:dyDescent="0.3">
      <c r="A358" s="3"/>
      <c r="B358" s="4"/>
    </row>
    <row r="359" spans="1:2" ht="15.75" thickBot="1" x14ac:dyDescent="0.3">
      <c r="A359" s="3"/>
      <c r="B359" s="4"/>
    </row>
    <row r="360" spans="1:2" ht="15.75" thickBot="1" x14ac:dyDescent="0.3">
      <c r="A360" s="3"/>
      <c r="B360" s="4"/>
    </row>
    <row r="361" spans="1:2" ht="15.75" thickBot="1" x14ac:dyDescent="0.3">
      <c r="A361" s="3"/>
      <c r="B361" s="4"/>
    </row>
    <row r="362" spans="1:2" ht="15.75" thickBot="1" x14ac:dyDescent="0.3">
      <c r="A362" s="3"/>
      <c r="B362" s="4"/>
    </row>
    <row r="363" spans="1:2" ht="15.75" thickBot="1" x14ac:dyDescent="0.3">
      <c r="A363" s="3"/>
      <c r="B363" s="4"/>
    </row>
    <row r="364" spans="1:2" ht="15.75" thickBot="1" x14ac:dyDescent="0.3">
      <c r="A364" s="3"/>
      <c r="B364" s="4"/>
    </row>
    <row r="365" spans="1:2" ht="15.75" thickBot="1" x14ac:dyDescent="0.3">
      <c r="A365" s="3"/>
      <c r="B365" s="4"/>
    </row>
    <row r="366" spans="1:2" ht="15.75" thickBot="1" x14ac:dyDescent="0.3">
      <c r="A366" s="3"/>
      <c r="B366" s="4"/>
    </row>
    <row r="367" spans="1:2" ht="15.75" thickBot="1" x14ac:dyDescent="0.3">
      <c r="A367" s="3"/>
      <c r="B367" s="4"/>
    </row>
    <row r="368" spans="1:2" ht="15.75" thickBot="1" x14ac:dyDescent="0.3">
      <c r="A368" s="3"/>
      <c r="B368" s="4"/>
    </row>
    <row r="369" spans="1:2" ht="15.75" thickBot="1" x14ac:dyDescent="0.3">
      <c r="A369" s="3"/>
      <c r="B369" s="4"/>
    </row>
    <row r="370" spans="1:2" ht="15.75" thickBot="1" x14ac:dyDescent="0.3">
      <c r="A370" s="3"/>
      <c r="B370" s="4"/>
    </row>
    <row r="371" spans="1:2" ht="15.75" thickBot="1" x14ac:dyDescent="0.3">
      <c r="A371" s="3"/>
      <c r="B371" s="4"/>
    </row>
    <row r="372" spans="1:2" ht="15.75" thickBot="1" x14ac:dyDescent="0.3">
      <c r="A372" s="3"/>
      <c r="B372" s="4"/>
    </row>
    <row r="373" spans="1:2" ht="15.75" thickBot="1" x14ac:dyDescent="0.3">
      <c r="A373" s="3"/>
      <c r="B373" s="4"/>
    </row>
    <row r="374" spans="1:2" ht="15.75" thickBot="1" x14ac:dyDescent="0.3">
      <c r="A374" s="3"/>
      <c r="B374" s="4"/>
    </row>
    <row r="375" spans="1:2" ht="15.75" thickBot="1" x14ac:dyDescent="0.3">
      <c r="A375" s="3"/>
      <c r="B375" s="4"/>
    </row>
    <row r="376" spans="1:2" ht="15.75" thickBot="1" x14ac:dyDescent="0.3">
      <c r="A376" s="3"/>
      <c r="B376" s="4"/>
    </row>
    <row r="377" spans="1:2" ht="15.75" thickBot="1" x14ac:dyDescent="0.3">
      <c r="A377" s="3"/>
      <c r="B377" s="4"/>
    </row>
    <row r="378" spans="1:2" ht="15.75" thickBot="1" x14ac:dyDescent="0.3">
      <c r="A378" s="3"/>
      <c r="B378" s="4"/>
    </row>
    <row r="379" spans="1:2" ht="15.75" thickBot="1" x14ac:dyDescent="0.3">
      <c r="A379" s="3"/>
      <c r="B379" s="4"/>
    </row>
    <row r="380" spans="1:2" ht="15.75" thickBot="1" x14ac:dyDescent="0.3">
      <c r="A380" s="3"/>
      <c r="B380" s="4"/>
    </row>
    <row r="381" spans="1:2" ht="15.75" thickBot="1" x14ac:dyDescent="0.3">
      <c r="A381" s="3"/>
      <c r="B381" s="4"/>
    </row>
    <row r="382" spans="1:2" ht="15.75" thickBot="1" x14ac:dyDescent="0.3">
      <c r="A382" s="3"/>
      <c r="B382" s="4"/>
    </row>
    <row r="383" spans="1:2" ht="15.75" thickBot="1" x14ac:dyDescent="0.3">
      <c r="A383" s="3"/>
      <c r="B383" s="4"/>
    </row>
    <row r="384" spans="1:2" ht="15.75" thickBot="1" x14ac:dyDescent="0.3">
      <c r="A384" s="3"/>
      <c r="B384" s="4"/>
    </row>
    <row r="385" spans="1:2" ht="15.75" thickBot="1" x14ac:dyDescent="0.3">
      <c r="A385" s="3"/>
      <c r="B385" s="4"/>
    </row>
    <row r="386" spans="1:2" ht="15.75" thickBot="1" x14ac:dyDescent="0.3">
      <c r="A386" s="3"/>
      <c r="B386" s="4"/>
    </row>
    <row r="387" spans="1:2" ht="15.75" thickBot="1" x14ac:dyDescent="0.3">
      <c r="A387" s="3"/>
      <c r="B387" s="4"/>
    </row>
    <row r="388" spans="1:2" ht="15.75" thickBot="1" x14ac:dyDescent="0.3">
      <c r="A388" s="3"/>
      <c r="B388" s="4"/>
    </row>
    <row r="389" spans="1:2" ht="15.75" thickBot="1" x14ac:dyDescent="0.3">
      <c r="A389" s="3"/>
      <c r="B389" s="4"/>
    </row>
    <row r="390" spans="1:2" ht="15.75" thickBot="1" x14ac:dyDescent="0.3">
      <c r="A390" s="3"/>
      <c r="B390" s="4"/>
    </row>
    <row r="391" spans="1:2" ht="15.75" thickBot="1" x14ac:dyDescent="0.3">
      <c r="A391" s="3"/>
      <c r="B391" s="4"/>
    </row>
    <row r="392" spans="1:2" ht="15.75" thickBot="1" x14ac:dyDescent="0.3">
      <c r="A392" s="3"/>
      <c r="B392" s="4"/>
    </row>
    <row r="393" spans="1:2" ht="15.75" thickBot="1" x14ac:dyDescent="0.3">
      <c r="A393" s="3"/>
      <c r="B393" s="4"/>
    </row>
    <row r="394" spans="1:2" ht="15.75" thickBot="1" x14ac:dyDescent="0.3">
      <c r="A394" s="3"/>
      <c r="B394" s="4"/>
    </row>
    <row r="395" spans="1:2" ht="15.75" thickBot="1" x14ac:dyDescent="0.3">
      <c r="A395" s="3"/>
      <c r="B395" s="4"/>
    </row>
    <row r="396" spans="1:2" ht="15.75" thickBot="1" x14ac:dyDescent="0.3">
      <c r="A396" s="3"/>
      <c r="B396" s="4"/>
    </row>
    <row r="397" spans="1:2" ht="15.75" thickBot="1" x14ac:dyDescent="0.3">
      <c r="A397" s="3"/>
      <c r="B397" s="4"/>
    </row>
    <row r="398" spans="1:2" ht="15.75" thickBot="1" x14ac:dyDescent="0.3">
      <c r="A398" s="3"/>
      <c r="B398" s="4"/>
    </row>
    <row r="399" spans="1:2" ht="15.75" thickBot="1" x14ac:dyDescent="0.3">
      <c r="A399" s="3"/>
      <c r="B399" s="4"/>
    </row>
    <row r="400" spans="1:2" ht="15.75" thickBot="1" x14ac:dyDescent="0.3">
      <c r="A400" s="3"/>
      <c r="B400" s="4"/>
    </row>
    <row r="401" spans="1:2" ht="15.75" thickBot="1" x14ac:dyDescent="0.3">
      <c r="A401" s="3"/>
      <c r="B401" s="4"/>
    </row>
    <row r="402" spans="1:2" ht="15.75" thickBot="1" x14ac:dyDescent="0.3">
      <c r="A402" s="3"/>
      <c r="B402" s="4"/>
    </row>
    <row r="403" spans="1:2" ht="15.75" thickBot="1" x14ac:dyDescent="0.3">
      <c r="A403" s="3"/>
      <c r="B403" s="4"/>
    </row>
    <row r="404" spans="1:2" ht="15.75" thickBot="1" x14ac:dyDescent="0.3">
      <c r="A404" s="3"/>
      <c r="B404" s="4"/>
    </row>
    <row r="405" spans="1:2" ht="15.75" thickBot="1" x14ac:dyDescent="0.3">
      <c r="A405" s="3"/>
      <c r="B405" s="4"/>
    </row>
    <row r="406" spans="1:2" ht="15.75" thickBot="1" x14ac:dyDescent="0.3">
      <c r="A406" s="3"/>
      <c r="B406" s="4"/>
    </row>
    <row r="407" spans="1:2" ht="15.75" thickBot="1" x14ac:dyDescent="0.3">
      <c r="A407" s="3"/>
      <c r="B407" s="4"/>
    </row>
    <row r="408" spans="1:2" ht="15.75" thickBot="1" x14ac:dyDescent="0.3">
      <c r="A408" s="3"/>
      <c r="B408" s="4"/>
    </row>
    <row r="409" spans="1:2" ht="15.75" thickBot="1" x14ac:dyDescent="0.3">
      <c r="A409" s="3"/>
      <c r="B409" s="4"/>
    </row>
    <row r="410" spans="1:2" ht="15.75" thickBot="1" x14ac:dyDescent="0.3">
      <c r="A410" s="3"/>
      <c r="B410" s="4"/>
    </row>
    <row r="411" spans="1:2" ht="15.75" thickBot="1" x14ac:dyDescent="0.3">
      <c r="A411" s="3"/>
      <c r="B411" s="4"/>
    </row>
    <row r="412" spans="1:2" ht="15.75" thickBot="1" x14ac:dyDescent="0.3">
      <c r="A412" s="3"/>
      <c r="B412" s="4"/>
    </row>
    <row r="413" spans="1:2" ht="15.75" thickBot="1" x14ac:dyDescent="0.3">
      <c r="A413" s="3"/>
      <c r="B413" s="4"/>
    </row>
    <row r="414" spans="1:2" ht="15.75" thickBot="1" x14ac:dyDescent="0.3">
      <c r="A414" s="3"/>
      <c r="B414" s="4"/>
    </row>
    <row r="415" spans="1:2" ht="15.75" thickBot="1" x14ac:dyDescent="0.3">
      <c r="A415" s="3"/>
      <c r="B415" s="4"/>
    </row>
    <row r="416" spans="1:2" ht="15.75" thickBot="1" x14ac:dyDescent="0.3">
      <c r="A416" s="3"/>
      <c r="B416" s="4"/>
    </row>
    <row r="417" spans="1:2" ht="15.75" thickBot="1" x14ac:dyDescent="0.3">
      <c r="A417" s="3"/>
      <c r="B417" s="4"/>
    </row>
    <row r="418" spans="1:2" ht="15.75" thickBot="1" x14ac:dyDescent="0.3">
      <c r="A418" s="3"/>
      <c r="B418" s="4"/>
    </row>
    <row r="419" spans="1:2" ht="15.75" thickBot="1" x14ac:dyDescent="0.3">
      <c r="A419" s="3"/>
      <c r="B419" s="4"/>
    </row>
    <row r="420" spans="1:2" ht="15.75" thickBot="1" x14ac:dyDescent="0.3">
      <c r="A420" s="3"/>
      <c r="B420" s="4"/>
    </row>
    <row r="421" spans="1:2" ht="15.75" thickBot="1" x14ac:dyDescent="0.3">
      <c r="A421" s="3"/>
      <c r="B421" s="4"/>
    </row>
    <row r="422" spans="1:2" ht="15.75" thickBot="1" x14ac:dyDescent="0.3">
      <c r="A422" s="3"/>
      <c r="B422" s="4"/>
    </row>
    <row r="423" spans="1:2" ht="15.75" thickBot="1" x14ac:dyDescent="0.3">
      <c r="A423" s="3"/>
      <c r="B423" s="4"/>
    </row>
    <row r="424" spans="1:2" ht="15.75" thickBot="1" x14ac:dyDescent="0.3">
      <c r="A424" s="3"/>
      <c r="B424" s="4"/>
    </row>
    <row r="425" spans="1:2" ht="15.75" thickBot="1" x14ac:dyDescent="0.3">
      <c r="A425" s="3"/>
      <c r="B425" s="4"/>
    </row>
    <row r="426" spans="1:2" ht="15.75" thickBot="1" x14ac:dyDescent="0.3">
      <c r="A426" s="3"/>
      <c r="B426" s="4"/>
    </row>
    <row r="427" spans="1:2" ht="15.75" thickBot="1" x14ac:dyDescent="0.3">
      <c r="A427" s="3"/>
      <c r="B427" s="4"/>
    </row>
    <row r="428" spans="1:2" ht="15.75" thickBot="1" x14ac:dyDescent="0.3">
      <c r="A428" s="3"/>
      <c r="B428" s="4"/>
    </row>
    <row r="429" spans="1:2" ht="15.75" thickBot="1" x14ac:dyDescent="0.3">
      <c r="A429" s="3"/>
      <c r="B429" s="4"/>
    </row>
    <row r="430" spans="1:2" ht="15.75" thickBot="1" x14ac:dyDescent="0.3">
      <c r="A430" s="3"/>
      <c r="B430" s="4"/>
    </row>
    <row r="431" spans="1:2" ht="15.75" thickBot="1" x14ac:dyDescent="0.3">
      <c r="A431" s="3"/>
      <c r="B431" s="4"/>
    </row>
    <row r="432" spans="1:2" ht="15.75" thickBot="1" x14ac:dyDescent="0.3">
      <c r="A432" s="3"/>
      <c r="B432" s="4"/>
    </row>
    <row r="433" spans="1:2" ht="15.75" thickBot="1" x14ac:dyDescent="0.3">
      <c r="A433" s="3"/>
      <c r="B433" s="4"/>
    </row>
    <row r="434" spans="1:2" ht="15.75" thickBot="1" x14ac:dyDescent="0.3">
      <c r="A434" s="3"/>
      <c r="B434" s="4"/>
    </row>
    <row r="435" spans="1:2" ht="15.75" thickBot="1" x14ac:dyDescent="0.3">
      <c r="A435" s="3"/>
      <c r="B435" s="4"/>
    </row>
    <row r="436" spans="1:2" ht="15.75" thickBot="1" x14ac:dyDescent="0.3">
      <c r="A436" s="3"/>
      <c r="B436" s="4"/>
    </row>
    <row r="437" spans="1:2" ht="15.75" thickBot="1" x14ac:dyDescent="0.3">
      <c r="A437" s="3"/>
      <c r="B437" s="4"/>
    </row>
    <row r="438" spans="1:2" ht="15.75" thickBot="1" x14ac:dyDescent="0.3">
      <c r="A438" s="3"/>
      <c r="B438" s="4"/>
    </row>
    <row r="439" spans="1:2" ht="15.75" thickBot="1" x14ac:dyDescent="0.3">
      <c r="A439" s="3"/>
      <c r="B439" s="4"/>
    </row>
    <row r="440" spans="1:2" ht="15.75" thickBot="1" x14ac:dyDescent="0.3">
      <c r="A440" s="3"/>
      <c r="B440" s="4"/>
    </row>
    <row r="441" spans="1:2" ht="15.75" thickBot="1" x14ac:dyDescent="0.3">
      <c r="A441" s="3"/>
      <c r="B441" s="4"/>
    </row>
    <row r="442" spans="1:2" ht="15.75" thickBot="1" x14ac:dyDescent="0.3">
      <c r="A442" s="3"/>
      <c r="B442" s="4"/>
    </row>
    <row r="443" spans="1:2" ht="15.75" thickBot="1" x14ac:dyDescent="0.3">
      <c r="A443" s="3"/>
      <c r="B443" s="4"/>
    </row>
    <row r="444" spans="1:2" ht="15.75" thickBot="1" x14ac:dyDescent="0.3">
      <c r="A444" s="3"/>
      <c r="B444" s="4"/>
    </row>
    <row r="445" spans="1:2" ht="15.75" thickBot="1" x14ac:dyDescent="0.3">
      <c r="A445" s="3"/>
      <c r="B445" s="4"/>
    </row>
    <row r="446" spans="1:2" ht="15.75" thickBot="1" x14ac:dyDescent="0.3">
      <c r="A446" s="3"/>
      <c r="B446" s="4"/>
    </row>
    <row r="447" spans="1:2" ht="15.75" thickBot="1" x14ac:dyDescent="0.3">
      <c r="A447" s="3"/>
      <c r="B447" s="4"/>
    </row>
    <row r="448" spans="1:2" ht="15.75" thickBot="1" x14ac:dyDescent="0.3">
      <c r="A448" s="3"/>
      <c r="B448" s="4"/>
    </row>
    <row r="449" spans="1:2" ht="15.75" thickBot="1" x14ac:dyDescent="0.3">
      <c r="A449" s="3"/>
      <c r="B449" s="4"/>
    </row>
    <row r="450" spans="1:2" ht="15.75" thickBot="1" x14ac:dyDescent="0.3">
      <c r="A450" s="3"/>
      <c r="B450" s="4"/>
    </row>
    <row r="451" spans="1:2" ht="15.75" thickBot="1" x14ac:dyDescent="0.3">
      <c r="A451" s="3"/>
      <c r="B451" s="4"/>
    </row>
    <row r="452" spans="1:2" ht="15.75" thickBot="1" x14ac:dyDescent="0.3">
      <c r="A452" s="3"/>
      <c r="B452" s="4"/>
    </row>
    <row r="453" spans="1:2" ht="15.75" thickBot="1" x14ac:dyDescent="0.3">
      <c r="A453" s="3"/>
      <c r="B453" s="4"/>
    </row>
    <row r="454" spans="1:2" ht="15.75" thickBot="1" x14ac:dyDescent="0.3">
      <c r="A454" s="3"/>
      <c r="B454" s="4"/>
    </row>
    <row r="455" spans="1:2" ht="15.75" thickBot="1" x14ac:dyDescent="0.3">
      <c r="A455" s="3"/>
      <c r="B455" s="4"/>
    </row>
    <row r="456" spans="1:2" ht="15.75" thickBot="1" x14ac:dyDescent="0.3">
      <c r="A456" s="3"/>
      <c r="B456" s="4"/>
    </row>
    <row r="457" spans="1:2" ht="15.75" thickBot="1" x14ac:dyDescent="0.3">
      <c r="A457" s="3"/>
      <c r="B457" s="4"/>
    </row>
    <row r="458" spans="1:2" ht="15.75" thickBot="1" x14ac:dyDescent="0.3">
      <c r="A458" s="3"/>
      <c r="B458" s="4"/>
    </row>
    <row r="459" spans="1:2" ht="15.75" thickBot="1" x14ac:dyDescent="0.3">
      <c r="A459" s="3"/>
      <c r="B459" s="4"/>
    </row>
    <row r="460" spans="1:2" ht="15.75" thickBot="1" x14ac:dyDescent="0.3">
      <c r="A460" s="3"/>
      <c r="B460" s="4"/>
    </row>
    <row r="461" spans="1:2" ht="15.75" thickBot="1" x14ac:dyDescent="0.3">
      <c r="A461" s="3"/>
      <c r="B461" s="4"/>
    </row>
    <row r="462" spans="1:2" ht="15.75" thickBot="1" x14ac:dyDescent="0.3">
      <c r="A462" s="3"/>
      <c r="B462" s="4"/>
    </row>
    <row r="463" spans="1:2" ht="15.75" thickBot="1" x14ac:dyDescent="0.3">
      <c r="A463" s="3"/>
      <c r="B463" s="4"/>
    </row>
    <row r="464" spans="1:2" ht="15.75" thickBot="1" x14ac:dyDescent="0.3">
      <c r="A464" s="3"/>
      <c r="B464" s="4"/>
    </row>
    <row r="465" spans="1:2" ht="15.75" thickBot="1" x14ac:dyDescent="0.3">
      <c r="A465" s="3"/>
      <c r="B465" s="4"/>
    </row>
    <row r="466" spans="1:2" ht="15.75" thickBot="1" x14ac:dyDescent="0.3">
      <c r="A466" s="3"/>
      <c r="B466" s="4"/>
    </row>
    <row r="467" spans="1:2" ht="15.75" thickBot="1" x14ac:dyDescent="0.3">
      <c r="A467" s="3"/>
      <c r="B467" s="4"/>
    </row>
    <row r="468" spans="1:2" ht="15.75" thickBot="1" x14ac:dyDescent="0.3">
      <c r="A468" s="3"/>
      <c r="B468" s="4"/>
    </row>
    <row r="469" spans="1:2" ht="15.75" thickBot="1" x14ac:dyDescent="0.3">
      <c r="A469" s="3"/>
      <c r="B469" s="4"/>
    </row>
    <row r="470" spans="1:2" ht="15.75" thickBot="1" x14ac:dyDescent="0.3">
      <c r="A470" s="3"/>
      <c r="B470" s="4"/>
    </row>
    <row r="471" spans="1:2" ht="15.75" thickBot="1" x14ac:dyDescent="0.3">
      <c r="A471" s="3"/>
      <c r="B471" s="4"/>
    </row>
    <row r="472" spans="1:2" ht="15.75" thickBot="1" x14ac:dyDescent="0.3">
      <c r="A472" s="3"/>
      <c r="B472" s="4"/>
    </row>
    <row r="473" spans="1:2" ht="15.75" thickBot="1" x14ac:dyDescent="0.3">
      <c r="A473" s="3"/>
      <c r="B473" s="4"/>
    </row>
    <row r="474" spans="1:2" ht="15.75" thickBot="1" x14ac:dyDescent="0.3">
      <c r="A474" s="3"/>
      <c r="B474" s="4"/>
    </row>
    <row r="475" spans="1:2" ht="15.75" thickBot="1" x14ac:dyDescent="0.3">
      <c r="A475" s="3"/>
      <c r="B475" s="4"/>
    </row>
    <row r="476" spans="1:2" ht="15.75" thickBot="1" x14ac:dyDescent="0.3">
      <c r="A476" s="3"/>
      <c r="B476" s="4"/>
    </row>
    <row r="477" spans="1:2" ht="15.75" thickBot="1" x14ac:dyDescent="0.3">
      <c r="A477" s="3"/>
      <c r="B477" s="4"/>
    </row>
    <row r="478" spans="1:2" ht="15.75" thickBot="1" x14ac:dyDescent="0.3">
      <c r="A478" s="3"/>
      <c r="B478" s="4"/>
    </row>
    <row r="479" spans="1:2" ht="15.75" thickBot="1" x14ac:dyDescent="0.3">
      <c r="A479" s="3"/>
      <c r="B479" s="4"/>
    </row>
    <row r="480" spans="1:2" ht="15.75" thickBot="1" x14ac:dyDescent="0.3">
      <c r="A480" s="3"/>
      <c r="B480" s="4"/>
    </row>
    <row r="481" spans="1:2" ht="15.75" thickBot="1" x14ac:dyDescent="0.3">
      <c r="A481" s="3"/>
      <c r="B481" s="4"/>
    </row>
    <row r="482" spans="1:2" ht="15.75" thickBot="1" x14ac:dyDescent="0.3">
      <c r="A482" s="3"/>
      <c r="B482" s="4"/>
    </row>
    <row r="483" spans="1:2" ht="15.75" thickBot="1" x14ac:dyDescent="0.3">
      <c r="A483" s="3"/>
      <c r="B483" s="4"/>
    </row>
    <row r="484" spans="1:2" ht="15.75" thickBot="1" x14ac:dyDescent="0.3">
      <c r="A484" s="3"/>
      <c r="B484" s="4"/>
    </row>
    <row r="485" spans="1:2" ht="15.75" thickBot="1" x14ac:dyDescent="0.3">
      <c r="A485" s="3"/>
      <c r="B485" s="4"/>
    </row>
    <row r="486" spans="1:2" ht="15.75" thickBot="1" x14ac:dyDescent="0.3">
      <c r="A486" s="3"/>
      <c r="B486" s="4"/>
    </row>
    <row r="487" spans="1:2" ht="15.75" thickBot="1" x14ac:dyDescent="0.3">
      <c r="A487" s="3"/>
      <c r="B487" s="4"/>
    </row>
    <row r="488" spans="1:2" ht="15.75" thickBot="1" x14ac:dyDescent="0.3">
      <c r="A488" s="3"/>
      <c r="B488" s="4"/>
    </row>
    <row r="489" spans="1:2" ht="15.75" thickBot="1" x14ac:dyDescent="0.3">
      <c r="A489" s="3"/>
      <c r="B489" s="4"/>
    </row>
    <row r="490" spans="1:2" ht="15.75" thickBot="1" x14ac:dyDescent="0.3">
      <c r="A490" s="3"/>
      <c r="B490" s="4"/>
    </row>
    <row r="491" spans="1:2" ht="15.75" thickBot="1" x14ac:dyDescent="0.3">
      <c r="A491" s="3"/>
      <c r="B491" s="4"/>
    </row>
    <row r="492" spans="1:2" ht="15.75" thickBot="1" x14ac:dyDescent="0.3">
      <c r="A492" s="3"/>
      <c r="B492" s="4"/>
    </row>
    <row r="493" spans="1:2" ht="15.75" thickBot="1" x14ac:dyDescent="0.3">
      <c r="A493" s="3"/>
      <c r="B493" s="4"/>
    </row>
    <row r="494" spans="1:2" ht="15.75" thickBot="1" x14ac:dyDescent="0.3">
      <c r="A494" s="3"/>
      <c r="B494" s="4"/>
    </row>
    <row r="495" spans="1:2" ht="15.75" thickBot="1" x14ac:dyDescent="0.3">
      <c r="A495" s="3"/>
      <c r="B495" s="4"/>
    </row>
    <row r="496" spans="1:2" ht="15.75" thickBot="1" x14ac:dyDescent="0.3">
      <c r="A496" s="3"/>
      <c r="B496" s="4"/>
    </row>
    <row r="497" spans="1:2" ht="15.75" thickBot="1" x14ac:dyDescent="0.3">
      <c r="A497" s="3"/>
      <c r="B497" s="4"/>
    </row>
    <row r="498" spans="1:2" ht="15.75" thickBot="1" x14ac:dyDescent="0.3">
      <c r="A498" s="3"/>
      <c r="B498" s="4"/>
    </row>
    <row r="499" spans="1:2" ht="15.75" thickBot="1" x14ac:dyDescent="0.3">
      <c r="A499" s="3"/>
      <c r="B499" s="4"/>
    </row>
    <row r="500" spans="1:2" ht="15.75" thickBot="1" x14ac:dyDescent="0.3">
      <c r="A500" s="3"/>
      <c r="B500" s="4"/>
    </row>
    <row r="501" spans="1:2" ht="15.75" thickBot="1" x14ac:dyDescent="0.3">
      <c r="A501" s="3"/>
      <c r="B501" s="4"/>
    </row>
    <row r="502" spans="1:2" ht="15.75" thickBot="1" x14ac:dyDescent="0.3">
      <c r="A502" s="3"/>
      <c r="B502" s="4"/>
    </row>
    <row r="503" spans="1:2" ht="15.75" thickBot="1" x14ac:dyDescent="0.3">
      <c r="A503" s="3"/>
      <c r="B503" s="4"/>
    </row>
    <row r="504" spans="1:2" ht="15.75" thickBot="1" x14ac:dyDescent="0.3">
      <c r="A504" s="3"/>
      <c r="B504" s="4"/>
    </row>
    <row r="505" spans="1:2" ht="15.75" thickBot="1" x14ac:dyDescent="0.3">
      <c r="A505" s="3"/>
      <c r="B505" s="4"/>
    </row>
    <row r="506" spans="1:2" ht="15.75" thickBot="1" x14ac:dyDescent="0.3">
      <c r="A506" s="3"/>
      <c r="B506" s="4"/>
    </row>
    <row r="507" spans="1:2" ht="15.75" thickBot="1" x14ac:dyDescent="0.3">
      <c r="A507" s="3"/>
      <c r="B507" s="4"/>
    </row>
    <row r="508" spans="1:2" ht="15.75" thickBot="1" x14ac:dyDescent="0.3">
      <c r="A508" s="3"/>
      <c r="B508" s="4"/>
    </row>
    <row r="509" spans="1:2" ht="15.75" thickBot="1" x14ac:dyDescent="0.3">
      <c r="A509" s="3"/>
      <c r="B509" s="4"/>
    </row>
    <row r="510" spans="1:2" ht="15.75" thickBot="1" x14ac:dyDescent="0.3">
      <c r="A510" s="3"/>
      <c r="B510" s="4"/>
    </row>
    <row r="511" spans="1:2" ht="15.75" thickBot="1" x14ac:dyDescent="0.3">
      <c r="A511" s="3"/>
      <c r="B511" s="4"/>
    </row>
    <row r="512" spans="1:2" ht="15.75" thickBot="1" x14ac:dyDescent="0.3">
      <c r="A512" s="3"/>
      <c r="B512" s="4"/>
    </row>
    <row r="513" spans="1:2" ht="15.75" thickBot="1" x14ac:dyDescent="0.3">
      <c r="A513" s="3"/>
      <c r="B513" s="4"/>
    </row>
    <row r="514" spans="1:2" ht="15.75" thickBot="1" x14ac:dyDescent="0.3">
      <c r="A514" s="3"/>
      <c r="B514" s="4"/>
    </row>
    <row r="515" spans="1:2" ht="15.75" thickBot="1" x14ac:dyDescent="0.3">
      <c r="A515" s="3"/>
      <c r="B515" s="4"/>
    </row>
    <row r="516" spans="1:2" ht="15.75" thickBot="1" x14ac:dyDescent="0.3">
      <c r="A516" s="3"/>
      <c r="B516" s="4"/>
    </row>
    <row r="517" spans="1:2" ht="15.75" thickBot="1" x14ac:dyDescent="0.3">
      <c r="A517" s="3"/>
      <c r="B517" s="4"/>
    </row>
    <row r="518" spans="1:2" ht="15.75" thickBot="1" x14ac:dyDescent="0.3">
      <c r="A518" s="3"/>
      <c r="B518" s="4"/>
    </row>
    <row r="519" spans="1:2" ht="15.75" thickBot="1" x14ac:dyDescent="0.3">
      <c r="A519" s="3"/>
      <c r="B519" s="4"/>
    </row>
    <row r="520" spans="1:2" ht="15.75" thickBot="1" x14ac:dyDescent="0.3">
      <c r="A520" s="3"/>
      <c r="B520" s="4"/>
    </row>
    <row r="521" spans="1:2" ht="15.75" thickBot="1" x14ac:dyDescent="0.3">
      <c r="A521" s="3"/>
      <c r="B521" s="4"/>
    </row>
    <row r="522" spans="1:2" ht="15.75" thickBot="1" x14ac:dyDescent="0.3">
      <c r="A522" s="3"/>
      <c r="B522" s="4"/>
    </row>
    <row r="523" spans="1:2" ht="15.75" thickBot="1" x14ac:dyDescent="0.3">
      <c r="A523" s="3"/>
      <c r="B523" s="4"/>
    </row>
    <row r="524" spans="1:2" ht="15.75" thickBot="1" x14ac:dyDescent="0.3">
      <c r="A524" s="3"/>
      <c r="B524" s="4"/>
    </row>
    <row r="525" spans="1:2" ht="15.75" thickBot="1" x14ac:dyDescent="0.3">
      <c r="A525" s="3"/>
      <c r="B525" s="4"/>
    </row>
    <row r="526" spans="1:2" ht="15.75" thickBot="1" x14ac:dyDescent="0.3">
      <c r="A526" s="3"/>
      <c r="B526" s="4"/>
    </row>
    <row r="527" spans="1:2" ht="15.75" thickBot="1" x14ac:dyDescent="0.3">
      <c r="A527" s="3"/>
      <c r="B527" s="4"/>
    </row>
    <row r="528" spans="1:2" ht="15.75" thickBot="1" x14ac:dyDescent="0.3">
      <c r="A528" s="3"/>
      <c r="B528" s="4"/>
    </row>
    <row r="529" spans="1:2" ht="15.75" thickBot="1" x14ac:dyDescent="0.3">
      <c r="A529" s="3"/>
      <c r="B529" s="4"/>
    </row>
    <row r="530" spans="1:2" ht="15.75" thickBot="1" x14ac:dyDescent="0.3">
      <c r="A530" s="3"/>
      <c r="B530" s="4"/>
    </row>
    <row r="531" spans="1:2" ht="15.75" thickBot="1" x14ac:dyDescent="0.3">
      <c r="A531" s="3"/>
      <c r="B531" s="4"/>
    </row>
    <row r="532" spans="1:2" ht="15.75" thickBot="1" x14ac:dyDescent="0.3">
      <c r="A532" s="3"/>
      <c r="B532" s="4"/>
    </row>
    <row r="533" spans="1:2" ht="15.75" thickBot="1" x14ac:dyDescent="0.3">
      <c r="A533" s="3"/>
      <c r="B533" s="4"/>
    </row>
    <row r="534" spans="1:2" ht="15.75" thickBot="1" x14ac:dyDescent="0.3">
      <c r="A534" s="3"/>
      <c r="B534" s="4"/>
    </row>
    <row r="535" spans="1:2" ht="15.75" thickBot="1" x14ac:dyDescent="0.3">
      <c r="A535" s="3"/>
      <c r="B535" s="4"/>
    </row>
    <row r="536" spans="1:2" ht="15.75" thickBot="1" x14ac:dyDescent="0.3">
      <c r="A536" s="3"/>
      <c r="B536" s="4"/>
    </row>
    <row r="537" spans="1:2" ht="15.75" thickBot="1" x14ac:dyDescent="0.3">
      <c r="A537" s="3"/>
      <c r="B537" s="4"/>
    </row>
    <row r="538" spans="1:2" ht="15.75" thickBot="1" x14ac:dyDescent="0.3">
      <c r="A538" s="3"/>
      <c r="B538" s="4"/>
    </row>
    <row r="539" spans="1:2" ht="15.75" thickBot="1" x14ac:dyDescent="0.3">
      <c r="A539" s="3"/>
      <c r="B539" s="4"/>
    </row>
    <row r="540" spans="1:2" ht="15.75" thickBot="1" x14ac:dyDescent="0.3">
      <c r="A540" s="3"/>
      <c r="B540" s="4"/>
    </row>
    <row r="541" spans="1:2" ht="15.75" thickBot="1" x14ac:dyDescent="0.3">
      <c r="A541" s="3"/>
      <c r="B541" s="4"/>
    </row>
    <row r="542" spans="1:2" ht="15.75" thickBot="1" x14ac:dyDescent="0.3">
      <c r="A542" s="3"/>
      <c r="B542" s="4"/>
    </row>
    <row r="543" spans="1:2" ht="15.75" thickBot="1" x14ac:dyDescent="0.3">
      <c r="A543" s="3"/>
      <c r="B543" s="4"/>
    </row>
    <row r="544" spans="1:2" ht="15.75" thickBot="1" x14ac:dyDescent="0.3">
      <c r="A544" s="3"/>
      <c r="B544" s="4"/>
    </row>
    <row r="545" spans="1:2" ht="15.75" thickBot="1" x14ac:dyDescent="0.3">
      <c r="A545" s="3"/>
      <c r="B545" s="4"/>
    </row>
    <row r="546" spans="1:2" ht="15.75" thickBot="1" x14ac:dyDescent="0.3">
      <c r="A546" s="3"/>
      <c r="B546" s="4"/>
    </row>
    <row r="547" spans="1:2" ht="15.75" thickBot="1" x14ac:dyDescent="0.3">
      <c r="A547" s="3"/>
      <c r="B547" s="4"/>
    </row>
    <row r="548" spans="1:2" ht="15.75" thickBot="1" x14ac:dyDescent="0.3">
      <c r="A548" s="3"/>
      <c r="B548" s="4"/>
    </row>
    <row r="549" spans="1:2" ht="15.75" thickBot="1" x14ac:dyDescent="0.3">
      <c r="A549" s="3"/>
      <c r="B549" s="4"/>
    </row>
    <row r="550" spans="1:2" ht="15.75" thickBot="1" x14ac:dyDescent="0.3">
      <c r="A550" s="3"/>
      <c r="B550" s="4"/>
    </row>
    <row r="551" spans="1:2" ht="15.75" thickBot="1" x14ac:dyDescent="0.3">
      <c r="A551" s="3"/>
      <c r="B551" s="4"/>
    </row>
    <row r="552" spans="1:2" ht="15.75" thickBot="1" x14ac:dyDescent="0.3">
      <c r="A552" s="3"/>
      <c r="B552" s="4"/>
    </row>
    <row r="553" spans="1:2" ht="15.75" thickBot="1" x14ac:dyDescent="0.3">
      <c r="A553" s="3"/>
      <c r="B553" s="4"/>
    </row>
    <row r="554" spans="1:2" ht="15.75" thickBot="1" x14ac:dyDescent="0.3">
      <c r="A554" s="3"/>
      <c r="B554" s="4"/>
    </row>
    <row r="555" spans="1:2" ht="15.75" thickBot="1" x14ac:dyDescent="0.3">
      <c r="A555" s="3"/>
      <c r="B555" s="4"/>
    </row>
    <row r="556" spans="1:2" ht="15.75" thickBot="1" x14ac:dyDescent="0.3">
      <c r="A556" s="3"/>
      <c r="B556" s="4"/>
    </row>
    <row r="557" spans="1:2" ht="15.75" thickBot="1" x14ac:dyDescent="0.3">
      <c r="A557" s="3"/>
      <c r="B557" s="4"/>
    </row>
    <row r="558" spans="1:2" ht="15.75" thickBot="1" x14ac:dyDescent="0.3">
      <c r="A558" s="3"/>
      <c r="B558" s="4"/>
    </row>
    <row r="559" spans="1:2" ht="15.75" thickBot="1" x14ac:dyDescent="0.3">
      <c r="A559" s="3"/>
      <c r="B559" s="4"/>
    </row>
    <row r="560" spans="1:2" ht="15.75" thickBot="1" x14ac:dyDescent="0.3">
      <c r="A560" s="3"/>
      <c r="B560" s="4"/>
    </row>
    <row r="561" spans="1:2" ht="15.75" thickBot="1" x14ac:dyDescent="0.3">
      <c r="A561" s="3"/>
      <c r="B561" s="4"/>
    </row>
    <row r="562" spans="1:2" ht="15.75" thickBot="1" x14ac:dyDescent="0.3">
      <c r="A562" s="3"/>
      <c r="B562" s="4"/>
    </row>
    <row r="563" spans="1:2" ht="15.75" thickBot="1" x14ac:dyDescent="0.3">
      <c r="A563" s="3"/>
      <c r="B563" s="4"/>
    </row>
    <row r="564" spans="1:2" ht="15.75" thickBot="1" x14ac:dyDescent="0.3">
      <c r="A564" s="3"/>
      <c r="B564" s="4"/>
    </row>
    <row r="565" spans="1:2" ht="15.75" thickBot="1" x14ac:dyDescent="0.3">
      <c r="A565" s="3"/>
      <c r="B565" s="4"/>
    </row>
    <row r="566" spans="1:2" ht="15.75" thickBot="1" x14ac:dyDescent="0.3">
      <c r="A566" s="3"/>
      <c r="B566" s="4"/>
    </row>
    <row r="567" spans="1:2" ht="15.75" thickBot="1" x14ac:dyDescent="0.3">
      <c r="A567" s="3"/>
      <c r="B567" s="4"/>
    </row>
    <row r="568" spans="1:2" ht="15.75" thickBot="1" x14ac:dyDescent="0.3">
      <c r="A568" s="3"/>
      <c r="B568" s="4"/>
    </row>
    <row r="569" spans="1:2" ht="15.75" thickBot="1" x14ac:dyDescent="0.3">
      <c r="A569" s="3"/>
      <c r="B569" s="4"/>
    </row>
    <row r="570" spans="1:2" ht="15.75" thickBot="1" x14ac:dyDescent="0.3">
      <c r="A570" s="3"/>
      <c r="B570" s="4"/>
    </row>
    <row r="571" spans="1:2" ht="15.75" thickBot="1" x14ac:dyDescent="0.3">
      <c r="A571" s="3"/>
      <c r="B571" s="4"/>
    </row>
    <row r="572" spans="1:2" ht="15.75" thickBot="1" x14ac:dyDescent="0.3">
      <c r="A572" s="3"/>
      <c r="B572" s="4"/>
    </row>
    <row r="573" spans="1:2" ht="15.75" thickBot="1" x14ac:dyDescent="0.3">
      <c r="A573" s="3"/>
      <c r="B573" s="4"/>
    </row>
    <row r="574" spans="1:2" ht="15.75" thickBot="1" x14ac:dyDescent="0.3">
      <c r="A574" s="3"/>
      <c r="B574" s="4"/>
    </row>
    <row r="575" spans="1:2" ht="15.75" thickBot="1" x14ac:dyDescent="0.3">
      <c r="A575" s="3"/>
      <c r="B575" s="4"/>
    </row>
    <row r="576" spans="1:2" ht="15.75" thickBot="1" x14ac:dyDescent="0.3">
      <c r="A576" s="3"/>
      <c r="B576" s="4"/>
    </row>
    <row r="577" spans="1:2" ht="15.75" thickBot="1" x14ac:dyDescent="0.3">
      <c r="A577" s="3"/>
      <c r="B577"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VDF A</vt:lpstr>
      <vt:lpstr>VDF B</vt:lpstr>
      <vt:lpstr>Tasa BADLAR</vt:lpstr>
      <vt:lpstr>'VDF A'!Área_de_impresión</vt:lpstr>
      <vt:lpstr>'VDF B'!Área_de_impresión</vt:lpstr>
      <vt:lpstr>'VDF B'!VN</vt:lpstr>
      <vt:lpstr>VN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Mauro Jorge Zambon</cp:lastModifiedBy>
  <cp:lastPrinted>2022-10-04T17:41:43Z</cp:lastPrinted>
  <dcterms:created xsi:type="dcterms:W3CDTF">1996-11-27T10:00:04Z</dcterms:created>
  <dcterms:modified xsi:type="dcterms:W3CDTF">2022-10-12T15:25:42Z</dcterms:modified>
</cp:coreProperties>
</file>