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MADECO ARGENTINA\Difusión\"/>
    </mc:Choice>
  </mc:AlternateContent>
  <bookViews>
    <workbookView xWindow="0" yWindow="0" windowWidth="0" windowHeight="0"/>
  </bookViews>
  <sheets>
    <sheet name="CLASE A (ARS)" sheetId="12" r:id="rId1"/>
    <sheet name="CLASE B (DL)" sheetId="13" r:id="rId2"/>
    <sheet name="Feriados" sheetId="5" state="hidden" r:id="rId3"/>
    <sheet name="Hoja2" sheetId="7" state="hidden" r:id="rId4"/>
  </sheets>
  <definedNames>
    <definedName name="_xlnm.Print_Area" localSheetId="0">'CLASE A (ARS)'!$D$1:$P$50</definedName>
    <definedName name="_xlnm.Print_Area" localSheetId="1">'CLASE B (DL)'!$D$1:$P$42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2" l="1"/>
  <c r="J20" i="12"/>
  <c r="J21" i="12"/>
  <c r="J22" i="12"/>
  <c r="J23" i="12"/>
  <c r="J17" i="12"/>
  <c r="J18" i="12"/>
  <c r="I19" i="12"/>
  <c r="I20" i="12"/>
  <c r="I21" i="12"/>
  <c r="I22" i="12"/>
  <c r="I23" i="12"/>
  <c r="I18" i="12"/>
  <c r="I17" i="12"/>
  <c r="L31" i="12"/>
  <c r="L32" i="12"/>
  <c r="Q30" i="12"/>
  <c r="I34" i="12"/>
  <c r="I36" i="12"/>
  <c r="I37" i="12"/>
  <c r="I31" i="12"/>
  <c r="J31" i="12" s="1"/>
  <c r="K17" i="12" s="1"/>
  <c r="O34" i="12"/>
  <c r="O35" i="12"/>
  <c r="I35" i="12" s="1"/>
  <c r="O36" i="12"/>
  <c r="O37" i="12"/>
  <c r="O32" i="12"/>
  <c r="I32" i="12" s="1"/>
  <c r="O33" i="12"/>
  <c r="I33" i="12" s="1"/>
  <c r="G31" i="12"/>
  <c r="G38" i="12"/>
  <c r="G33" i="12"/>
  <c r="G34" i="12"/>
  <c r="G35" i="12"/>
  <c r="G36" i="12"/>
  <c r="G37" i="12"/>
  <c r="G32" i="12"/>
  <c r="D30" i="12"/>
  <c r="F33" i="12"/>
  <c r="D33" i="12" s="1"/>
  <c r="F34" i="12"/>
  <c r="H34" i="12" s="1"/>
  <c r="Q34" i="12" s="1"/>
  <c r="F35" i="12"/>
  <c r="H35" i="12" s="1"/>
  <c r="Q35" i="12" s="1"/>
  <c r="F36" i="12"/>
  <c r="D36" i="12" s="1"/>
  <c r="F37" i="12"/>
  <c r="D37" i="12" s="1"/>
  <c r="F31" i="12"/>
  <c r="H31" i="12" s="1"/>
  <c r="Q31" i="12" s="1"/>
  <c r="E33" i="12"/>
  <c r="E34" i="12"/>
  <c r="E35" i="12" s="1"/>
  <c r="E36" i="12" s="1"/>
  <c r="E37" i="12" s="1"/>
  <c r="E38" i="12" s="1"/>
  <c r="E31" i="12"/>
  <c r="E32" i="12" s="1"/>
  <c r="C33" i="12"/>
  <c r="C34" i="12"/>
  <c r="C35" i="12"/>
  <c r="C36" i="12"/>
  <c r="C37" i="12"/>
  <c r="C38" i="12"/>
  <c r="C32" i="12"/>
  <c r="C31" i="12"/>
  <c r="H36" i="12" l="1"/>
  <c r="Q36" i="12" s="1"/>
  <c r="H37" i="12"/>
  <c r="Q37" i="12" s="1"/>
  <c r="J33" i="12"/>
  <c r="H33" i="12"/>
  <c r="Q33" i="12" s="1"/>
  <c r="D35" i="12"/>
  <c r="D31" i="12"/>
  <c r="J32" i="12"/>
  <c r="K18" i="12" s="1"/>
  <c r="D34" i="12"/>
  <c r="M31" i="12"/>
  <c r="S31" i="12" s="1"/>
  <c r="L33" i="12"/>
  <c r="I28" i="13"/>
  <c r="I29" i="13"/>
  <c r="I30" i="13"/>
  <c r="I27" i="13"/>
  <c r="K32" i="13"/>
  <c r="Q31" i="13"/>
  <c r="C30" i="13"/>
  <c r="C29" i="13"/>
  <c r="C28" i="13"/>
  <c r="L27" i="13"/>
  <c r="L28" i="13" s="1"/>
  <c r="L29" i="13" s="1"/>
  <c r="L30" i="13" s="1"/>
  <c r="Q26" i="13"/>
  <c r="N26" i="13"/>
  <c r="M26" i="13"/>
  <c r="S26" i="13" s="1"/>
  <c r="I26" i="13"/>
  <c r="E26" i="13"/>
  <c r="F26" i="13" s="1"/>
  <c r="B26" i="13"/>
  <c r="C27" i="13" s="1"/>
  <c r="L25" i="13"/>
  <c r="I25" i="13"/>
  <c r="J20" i="13"/>
  <c r="J19" i="13"/>
  <c r="J18" i="13"/>
  <c r="J17" i="13"/>
  <c r="G14" i="13"/>
  <c r="D26" i="13" s="1"/>
  <c r="M33" i="12" l="1"/>
  <c r="N33" i="12" s="1"/>
  <c r="K19" i="12"/>
  <c r="L19" i="12" s="1"/>
  <c r="N31" i="12"/>
  <c r="J34" i="12"/>
  <c r="L34" i="12"/>
  <c r="L35" i="12" s="1"/>
  <c r="J21" i="13"/>
  <c r="V25" i="13" s="1"/>
  <c r="E27" i="13"/>
  <c r="S33" i="12" l="1"/>
  <c r="M34" i="12"/>
  <c r="N34" i="12" s="1"/>
  <c r="K20" i="12"/>
  <c r="L20" i="12" s="1"/>
  <c r="J36" i="12"/>
  <c r="L36" i="12"/>
  <c r="L37" i="12" s="1"/>
  <c r="W25" i="13"/>
  <c r="G27" i="13"/>
  <c r="J27" i="13" s="1"/>
  <c r="K17" i="13" s="1"/>
  <c r="F27" i="13"/>
  <c r="E28" i="13"/>
  <c r="M36" i="12" l="1"/>
  <c r="N36" i="12" s="1"/>
  <c r="K22" i="12"/>
  <c r="L22" i="12" s="1"/>
  <c r="L38" i="12"/>
  <c r="X25" i="13"/>
  <c r="Y25" i="13" s="1"/>
  <c r="G28" i="13"/>
  <c r="J28" i="13" s="1"/>
  <c r="K18" i="13" s="1"/>
  <c r="L18" i="13" s="1"/>
  <c r="E29" i="13"/>
  <c r="F28" i="13"/>
  <c r="I17" i="13"/>
  <c r="M27" i="13"/>
  <c r="H27" i="13"/>
  <c r="D27" i="13"/>
  <c r="L17" i="13"/>
  <c r="Q27" i="13" l="1"/>
  <c r="V26" i="13"/>
  <c r="V27" i="13" s="1"/>
  <c r="V30" i="13" s="1"/>
  <c r="W26" i="13"/>
  <c r="W27" i="13" s="1"/>
  <c r="W30" i="13" s="1"/>
  <c r="I18" i="13"/>
  <c r="M28" i="13"/>
  <c r="H28" i="13"/>
  <c r="Q28" i="13" s="1"/>
  <c r="D28" i="13"/>
  <c r="E30" i="13"/>
  <c r="F29" i="13"/>
  <c r="G29" i="13"/>
  <c r="J29" i="13" s="1"/>
  <c r="K19" i="13" s="1"/>
  <c r="N27" i="13"/>
  <c r="S27" i="13"/>
  <c r="L19" i="13" l="1"/>
  <c r="M29" i="13"/>
  <c r="H29" i="13"/>
  <c r="Q29" i="13" s="1"/>
  <c r="D29" i="13"/>
  <c r="I19" i="13"/>
  <c r="S28" i="13"/>
  <c r="N28" i="13"/>
  <c r="G30" i="13"/>
  <c r="J30" i="13" s="1"/>
  <c r="K20" i="13" s="1"/>
  <c r="L20" i="13" s="1"/>
  <c r="F30" i="13"/>
  <c r="K21" i="13" l="1"/>
  <c r="L21" i="13" s="1"/>
  <c r="M30" i="13"/>
  <c r="H30" i="13"/>
  <c r="Q30" i="13" s="1"/>
  <c r="D30" i="13"/>
  <c r="I20" i="13"/>
  <c r="G11" i="13"/>
  <c r="S29" i="13"/>
  <c r="N29" i="13"/>
  <c r="S30" i="13" l="1"/>
  <c r="N30" i="13"/>
  <c r="K10" i="13" s="1"/>
  <c r="N32" i="13" l="1"/>
  <c r="R31" i="13"/>
  <c r="R27" i="13"/>
  <c r="T27" i="13" s="1"/>
  <c r="R26" i="13"/>
  <c r="T26" i="13" s="1"/>
  <c r="U26" i="13" s="1"/>
  <c r="R24" i="13"/>
  <c r="R30" i="13"/>
  <c r="K11" i="13"/>
  <c r="R29" i="13"/>
  <c r="T29" i="13" s="1"/>
  <c r="U29" i="13" s="1"/>
  <c r="R28" i="13"/>
  <c r="T28" i="13" s="1"/>
  <c r="U28" i="13" s="1"/>
  <c r="T30" i="13"/>
  <c r="U30" i="13" s="1"/>
  <c r="U27" i="13" l="1"/>
  <c r="U32" i="13" s="1"/>
  <c r="T32" i="13"/>
  <c r="K12" i="13" l="1"/>
  <c r="G14" i="12" l="1"/>
  <c r="O38" i="12"/>
  <c r="I38" i="12" s="1"/>
  <c r="J38" i="12" s="1"/>
  <c r="K40" i="12" l="1"/>
  <c r="Q39" i="12"/>
  <c r="N30" i="12"/>
  <c r="M30" i="12"/>
  <c r="S30" i="12" s="1"/>
  <c r="I30" i="12"/>
  <c r="I29" i="12" s="1"/>
  <c r="E30" i="12"/>
  <c r="F30" i="12" s="1"/>
  <c r="B30" i="12"/>
  <c r="L29" i="12"/>
  <c r="J24" i="12"/>
  <c r="J35" i="12" l="1"/>
  <c r="J25" i="12"/>
  <c r="M35" i="12" l="1"/>
  <c r="N35" i="12" s="1"/>
  <c r="K21" i="12"/>
  <c r="L21" i="12" s="1"/>
  <c r="J37" i="12"/>
  <c r="F32" i="12"/>
  <c r="S35" i="12" l="1"/>
  <c r="M37" i="12"/>
  <c r="K23" i="12"/>
  <c r="L23" i="12" s="1"/>
  <c r="M32" i="12"/>
  <c r="N32" i="12" s="1"/>
  <c r="D32" i="12"/>
  <c r="N37" i="12"/>
  <c r="S37" i="12"/>
  <c r="L17" i="12"/>
  <c r="H32" i="12"/>
  <c r="Q32" i="12" s="1"/>
  <c r="L18" i="12"/>
  <c r="S32" i="12" l="1"/>
  <c r="F38" i="12"/>
  <c r="M38" i="12" s="1"/>
  <c r="S34" i="12" l="1"/>
  <c r="K24" i="12"/>
  <c r="L24" i="12" s="1"/>
  <c r="G11" i="12"/>
  <c r="S36" i="12" l="1"/>
  <c r="H38" i="12"/>
  <c r="Q38" i="12" s="1"/>
  <c r="D38" i="12"/>
  <c r="I24" i="12"/>
  <c r="N38" i="12" l="1"/>
  <c r="S38" i="12"/>
  <c r="K25" i="12"/>
  <c r="L25" i="12" s="1"/>
  <c r="K10" i="12" l="1"/>
  <c r="N40" i="12"/>
  <c r="K11" i="12" l="1"/>
  <c r="R31" i="12"/>
  <c r="T31" i="12" s="1"/>
  <c r="R33" i="12"/>
  <c r="T33" i="12" s="1"/>
  <c r="U33" i="12" s="1"/>
  <c r="R34" i="12"/>
  <c r="T34" i="12" s="1"/>
  <c r="U34" i="12" s="1"/>
  <c r="R32" i="12"/>
  <c r="T32" i="12" s="1"/>
  <c r="U32" i="12" s="1"/>
  <c r="R37" i="12"/>
  <c r="T37" i="12" s="1"/>
  <c r="U37" i="12" s="1"/>
  <c r="R38" i="12"/>
  <c r="T38" i="12" s="1"/>
  <c r="U38" i="12" s="1"/>
  <c r="R36" i="12"/>
  <c r="T36" i="12" s="1"/>
  <c r="U36" i="12" s="1"/>
  <c r="R35" i="12"/>
  <c r="T35" i="12" s="1"/>
  <c r="U35" i="12" s="1"/>
  <c r="R39" i="12"/>
  <c r="R28" i="12"/>
  <c r="R30" i="12"/>
  <c r="T30" i="12" s="1"/>
  <c r="U31" i="12" l="1"/>
  <c r="U40" i="12" s="1"/>
  <c r="T40" i="12"/>
  <c r="U30" i="12"/>
  <c r="K12" i="12" l="1"/>
  <c r="D2" i="7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</commentList>
</comments>
</file>

<file path=xl/sharedStrings.xml><?xml version="1.0" encoding="utf-8"?>
<sst xmlns="http://schemas.openxmlformats.org/spreadsheetml/2006/main" count="88" uniqueCount="53">
  <si>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</si>
  <si>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</si>
  <si>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</si>
  <si>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</si>
  <si>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</si>
  <si>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</si>
  <si>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</si>
  <si>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</si>
  <si>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</si>
  <si>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</si>
  <si>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</si>
  <si>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</si>
  <si>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</si>
  <si>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</si>
  <si>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</si>
  <si>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</si>
  <si>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</si>
  <si>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</si>
  <si>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</si>
  <si>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</si>
  <si>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</si>
  <si>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</si>
  <si>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</si>
  <si>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</si>
  <si>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Fijo a licitar</t>
  </si>
  <si>
    <t>intereses</t>
  </si>
  <si>
    <t>capital</t>
  </si>
  <si>
    <t>Calificación (Fix):</t>
  </si>
  <si>
    <t>Plazo (meses):</t>
  </si>
  <si>
    <t>Intereses:</t>
  </si>
  <si>
    <t>Cupón:</t>
  </si>
  <si>
    <t>Cupón a licitar:</t>
  </si>
  <si>
    <t>Duration (meses):</t>
  </si>
  <si>
    <t>Moneda:</t>
  </si>
  <si>
    <t>Dólar Linked</t>
  </si>
  <si>
    <t>Días Dev.</t>
  </si>
  <si>
    <t>V/N:</t>
  </si>
  <si>
    <t>s/c</t>
  </si>
  <si>
    <t>Badlar Proyectada</t>
  </si>
  <si>
    <t>Pesos</t>
  </si>
  <si>
    <t>Margen a licitar:</t>
  </si>
  <si>
    <t>ON Pyme CNV Garantizada Arg de Graaf SA Serie I - Clase B (Dólar Linked 24 meses)</t>
  </si>
  <si>
    <t>Semestrales</t>
  </si>
  <si>
    <t>TC de Integración:</t>
  </si>
  <si>
    <t>AVAL</t>
  </si>
  <si>
    <t>1 sem</t>
  </si>
  <si>
    <t>2 sem</t>
  </si>
  <si>
    <t>AVAL K BM</t>
  </si>
  <si>
    <t>ON Pyme CNV Garantizada MADECO ARGENTINA SA Serie I (Badlar 24 meses)</t>
  </si>
  <si>
    <t>Margen s/ Badlar</t>
  </si>
  <si>
    <t>A  LP (fix) - Banco Mariva</t>
  </si>
  <si>
    <t>Intereses</t>
  </si>
  <si>
    <t>Trimestrales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</si>
</sst>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EE09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4" fontId="10" fillId="0" borderId="2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4" fontId="2" fillId="0" borderId="0" xfId="0" applyNumberFormat="1" applyFont="1" applyFill="1" applyProtection="1"/>
    <xf numFmtId="164" fontId="2" fillId="0" borderId="0" xfId="1" applyFont="1" applyFill="1" applyAlignment="1" applyProtection="1">
      <alignment horizontal="center" vertical="center"/>
    </xf>
    <xf numFmtId="43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Protection="1"/>
    <xf numFmtId="164" fontId="2" fillId="0" borderId="0" xfId="0" applyNumberFormat="1" applyFont="1" applyFill="1" applyAlignment="1" applyProtection="1">
      <alignment horizontal="center" vertical="center"/>
    </xf>
    <xf numFmtId="43" fontId="2" fillId="0" borderId="0" xfId="0" applyNumberFormat="1" applyFont="1" applyFill="1" applyProtection="1"/>
    <xf numFmtId="164" fontId="2" fillId="0" borderId="0" xfId="0" applyNumberFormat="1" applyFont="1" applyFill="1" applyProtection="1"/>
    <xf numFmtId="166" fontId="3" fillId="5" borderId="12" xfId="3" applyNumberFormat="1" applyFont="1" applyFill="1" applyBorder="1" applyAlignment="1" applyProtection="1">
      <alignment horizontal="center"/>
    </xf>
    <xf numFmtId="166" fontId="3" fillId="5" borderId="6" xfId="3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5" borderId="6" xfId="3" applyNumberFormat="1" applyFont="1" applyFill="1" applyBorder="1" applyAlignment="1" applyProtection="1">
      <alignment horizontal="center"/>
      <protection locked="0"/>
    </xf>
    <xf numFmtId="10" fontId="4" fillId="5" borderId="7" xfId="3" applyNumberFormat="1" applyFont="1" applyFill="1" applyBorder="1" applyAlignment="1" applyProtection="1">
      <alignment horizontal="center"/>
      <protection locked="0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169" fontId="3" fillId="5" borderId="0" xfId="0" applyNumberFormat="1" applyFont="1" applyFill="1" applyBorder="1" applyAlignment="1" applyProtection="1">
      <alignment horizontal="center"/>
      <protection locked="0"/>
    </xf>
    <xf numFmtId="169" fontId="3" fillId="5" borderId="1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CEE094"/>
      <color rgb="FFBFD674"/>
      <color rgb="FFAFCC54"/>
      <color rgb="FFFFFF99"/>
      <color rgb="FFFFFFCC"/>
      <color rgb="FFFFFF66"/>
      <color rgb="FF1E4287"/>
      <color rgb="FF640000"/>
      <color rgb="FF0021AC"/>
      <color rgb="FF0019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257175</xdr:colOff>
      <xdr:row>2</xdr:row>
      <xdr:rowOff>9526</xdr:rowOff>
    </xdr:from>
    <xdr:to>
      <xdr:col>9</xdr:col>
      <xdr:colOff>849526</xdr:colOff>
      <xdr:row>5</xdr:row>
      <xdr:rowOff>27480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695700" y="2952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10</xdr:col>
      <xdr:colOff>342900</xdr:colOff>
      <xdr:row>0</xdr:row>
      <xdr:rowOff>66675</xdr:rowOff>
    </xdr:from>
    <xdr:to>
      <xdr:col>11</xdr:col>
      <xdr:colOff>476250</xdr:colOff>
      <xdr:row>6</xdr:row>
      <xdr:rowOff>66676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909" t="-7636" r="40182" b="1818"/>
        <a:stretch/>
      </xdr:blipFill>
      <xdr:spPr>
        <a:xfrm>
          <a:off x="5457825" y="66675"/>
          <a:ext cx="990600" cy="85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33</xdr:row>
      <xdr:rowOff>38100</xdr:rowOff>
    </xdr:from>
    <xdr:to>
      <xdr:col>14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81652" y="51530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257175</xdr:colOff>
      <xdr:row>2</xdr:row>
      <xdr:rowOff>104775</xdr:rowOff>
    </xdr:from>
    <xdr:to>
      <xdr:col>21</xdr:col>
      <xdr:colOff>9525</xdr:colOff>
      <xdr:row>6</xdr:row>
      <xdr:rowOff>28575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329" t="26996" r="32176" b="21011"/>
        <a:stretch/>
      </xdr:blipFill>
      <xdr:spPr>
        <a:xfrm>
          <a:off x="12639675" y="390525"/>
          <a:ext cx="202882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tabSelected="1" zoomScaleNormal="100" zoomScaleSheetLayoutView="130" workbookViewId="0">
      <selection activeCell="W10" sqref="W10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92" t="s">
        <v>48</v>
      </c>
      <c r="G8" s="93"/>
      <c r="H8" s="93"/>
      <c r="I8" s="93"/>
      <c r="J8" s="93"/>
      <c r="K8" s="93"/>
      <c r="L8" s="93"/>
      <c r="M8" s="93"/>
      <c r="N8" s="93"/>
      <c r="O8" s="94"/>
      <c r="P8" s="9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9" t="s">
        <v>0</v>
      </c>
      <c r="G10" s="96">
        <v>44680</v>
      </c>
      <c r="H10" s="97"/>
      <c r="I10" s="98" t="s">
        <v>1</v>
      </c>
      <c r="J10" s="99"/>
      <c r="K10" s="100">
        <f>XIRR(N30:N38,D30:D38)</f>
        <v>0.56558913588523885</v>
      </c>
      <c r="L10" s="101"/>
      <c r="M10" s="98" t="s">
        <v>29</v>
      </c>
      <c r="N10" s="99"/>
      <c r="O10" s="100" t="s">
        <v>52</v>
      </c>
      <c r="P10" s="101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70" t="s">
        <v>3</v>
      </c>
      <c r="G11" s="108">
        <f>+F38</f>
        <v>45411</v>
      </c>
      <c r="H11" s="109"/>
      <c r="I11" s="104" t="s">
        <v>19</v>
      </c>
      <c r="J11" s="105"/>
      <c r="K11" s="102">
        <f>+NOMINAL(K10,4)</f>
        <v>0.47434472381448067</v>
      </c>
      <c r="L11" s="103"/>
      <c r="M11" s="104" t="s">
        <v>33</v>
      </c>
      <c r="N11" s="105"/>
      <c r="O11" s="110" t="s">
        <v>39</v>
      </c>
      <c r="P11" s="111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70" t="s">
        <v>30</v>
      </c>
      <c r="G12" s="102" t="s">
        <v>49</v>
      </c>
      <c r="H12" s="103"/>
      <c r="I12" s="104" t="s">
        <v>32</v>
      </c>
      <c r="J12" s="105"/>
      <c r="K12" s="106">
        <f>+(U40/T40)*12</f>
        <v>14.405471075154322</v>
      </c>
      <c r="L12" s="107"/>
      <c r="M12" s="104" t="s">
        <v>2</v>
      </c>
      <c r="N12" s="105"/>
      <c r="O12" s="102">
        <v>1</v>
      </c>
      <c r="P12" s="103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70"/>
      <c r="G13" s="120"/>
      <c r="H13" s="121"/>
      <c r="I13" s="104" t="s">
        <v>27</v>
      </c>
      <c r="J13" s="105"/>
      <c r="K13" s="106" t="s">
        <v>50</v>
      </c>
      <c r="L13" s="107"/>
      <c r="M13" s="104" t="s">
        <v>36</v>
      </c>
      <c r="N13" s="105"/>
      <c r="O13" s="122">
        <v>70000000</v>
      </c>
      <c r="P13" s="123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1" t="s">
        <v>4</v>
      </c>
      <c r="G14" s="112">
        <f>+$G$10</f>
        <v>44680</v>
      </c>
      <c r="H14" s="113"/>
      <c r="I14" s="114" t="s">
        <v>28</v>
      </c>
      <c r="J14" s="115"/>
      <c r="K14" s="116">
        <v>24</v>
      </c>
      <c r="L14" s="117"/>
      <c r="M14" s="114" t="s">
        <v>40</v>
      </c>
      <c r="N14" s="115"/>
      <c r="O14" s="118">
        <v>0.03</v>
      </c>
      <c r="P14" s="119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2" t="s">
        <v>11</v>
      </c>
      <c r="J16" s="73" t="s">
        <v>17</v>
      </c>
      <c r="K16" s="73" t="s">
        <v>51</v>
      </c>
      <c r="L16" s="74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5">
        <f>+F31</f>
        <v>44771</v>
      </c>
      <c r="J17" s="65">
        <f>+$O$13*K31/100</f>
        <v>0</v>
      </c>
      <c r="K17" s="66">
        <f>+$O$13*J31/100</f>
        <v>8278818.4931506841</v>
      </c>
      <c r="L17" s="21">
        <f>SUM(J17:K17)</f>
        <v>8278818.4931506841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5">
        <f>+F32</f>
        <v>44863</v>
      </c>
      <c r="J18" s="65">
        <f>+$O$13*K32/100</f>
        <v>0</v>
      </c>
      <c r="K18" s="64">
        <f>+$O$13*J32/100</f>
        <v>8369794.5205479441</v>
      </c>
      <c r="L18" s="21">
        <f t="shared" ref="L18:L24" si="0">SUM(J18:K18)</f>
        <v>8369794.5205479441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5">
        <f t="shared" ref="I19:I23" si="1">+F33</f>
        <v>44955</v>
      </c>
      <c r="J19" s="65">
        <f t="shared" ref="J19:J23" si="2">+$O$13*K33/100</f>
        <v>0</v>
      </c>
      <c r="K19" s="64">
        <f t="shared" ref="K19:K23" si="3">+$O$13*J33/100</f>
        <v>8369794.5205479441</v>
      </c>
      <c r="L19" s="21">
        <f t="shared" si="0"/>
        <v>8369794.5205479441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5">
        <f t="shared" si="1"/>
        <v>45045</v>
      </c>
      <c r="J20" s="65">
        <f t="shared" si="2"/>
        <v>17500000</v>
      </c>
      <c r="K20" s="64">
        <f t="shared" si="3"/>
        <v>8187842.465753424</v>
      </c>
      <c r="L20" s="21">
        <f t="shared" si="0"/>
        <v>25687842.465753425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5">
        <f t="shared" si="1"/>
        <v>45136</v>
      </c>
      <c r="J21" s="65">
        <f t="shared" si="2"/>
        <v>0</v>
      </c>
      <c r="K21" s="64">
        <f t="shared" si="3"/>
        <v>6209113.8698630128</v>
      </c>
      <c r="L21" s="21">
        <f t="shared" si="0"/>
        <v>6209113.8698630128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75">
        <f t="shared" si="1"/>
        <v>45228</v>
      </c>
      <c r="J22" s="65">
        <f t="shared" si="2"/>
        <v>17500000</v>
      </c>
      <c r="K22" s="64">
        <f t="shared" si="3"/>
        <v>6277345.8904109569</v>
      </c>
      <c r="L22" s="21">
        <f t="shared" si="0"/>
        <v>23777345.890410956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75">
        <f t="shared" si="1"/>
        <v>45320</v>
      </c>
      <c r="J23" s="65">
        <f t="shared" si="2"/>
        <v>0</v>
      </c>
      <c r="K23" s="64">
        <f t="shared" si="3"/>
        <v>4184897.2602739721</v>
      </c>
      <c r="L23" s="21">
        <f t="shared" si="0"/>
        <v>4184897.2602739721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ht="12.75" customHeight="1" x14ac:dyDescent="0.2">
      <c r="I24" s="75">
        <f>+F38</f>
        <v>45411</v>
      </c>
      <c r="J24" s="65">
        <f>+$O$13*K38/100</f>
        <v>35000000</v>
      </c>
      <c r="K24" s="64">
        <f>+$O$13*J38/100</f>
        <v>4139409.246575342</v>
      </c>
      <c r="L24" s="21">
        <f t="shared" si="0"/>
        <v>39139409.246575341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2.75" customHeight="1" x14ac:dyDescent="0.2">
      <c r="I25" s="76" t="s">
        <v>13</v>
      </c>
      <c r="J25" s="77">
        <f>SUM(J17:J24)</f>
        <v>70000000</v>
      </c>
      <c r="K25" s="77">
        <f>SUM(K17:K24)</f>
        <v>54017016.267123282</v>
      </c>
      <c r="L25" s="78">
        <f>SUM(J25:K25)</f>
        <v>124017016.26712328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G26" s="46"/>
      <c r="H26" s="6"/>
      <c r="I26" s="6"/>
      <c r="L26" s="7"/>
      <c r="M26" s="8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ht="14.25" customHeight="1" x14ac:dyDescent="0.2">
      <c r="F27" s="130" t="s">
        <v>18</v>
      </c>
      <c r="G27" s="132" t="s">
        <v>35</v>
      </c>
      <c r="H27" s="132" t="s">
        <v>14</v>
      </c>
      <c r="I27" s="132" t="s">
        <v>22</v>
      </c>
      <c r="J27" s="124" t="s">
        <v>21</v>
      </c>
      <c r="K27" s="124" t="s">
        <v>5</v>
      </c>
      <c r="L27" s="124" t="s">
        <v>15</v>
      </c>
      <c r="M27" s="126" t="s">
        <v>6</v>
      </c>
      <c r="N27" s="128" t="s">
        <v>16</v>
      </c>
      <c r="O27" s="128" t="s">
        <v>38</v>
      </c>
      <c r="Q27" s="9" t="s">
        <v>20</v>
      </c>
      <c r="R27" s="9" t="s">
        <v>7</v>
      </c>
      <c r="S27" s="9" t="s">
        <v>8</v>
      </c>
      <c r="T27" s="9" t="s">
        <v>9</v>
      </c>
      <c r="U27" s="9" t="s">
        <v>10</v>
      </c>
      <c r="V27" s="9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x14ac:dyDescent="0.2">
      <c r="F28" s="131"/>
      <c r="G28" s="133"/>
      <c r="H28" s="133"/>
      <c r="I28" s="133"/>
      <c r="J28" s="125"/>
      <c r="K28" s="125"/>
      <c r="L28" s="125"/>
      <c r="M28" s="127"/>
      <c r="N28" s="129"/>
      <c r="O28" s="129"/>
      <c r="Q28" s="10"/>
      <c r="R28" s="11">
        <f>+K10</f>
        <v>0.56558913588523885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2:142" x14ac:dyDescent="0.2">
      <c r="B29" s="1" t="s">
        <v>23</v>
      </c>
      <c r="F29" s="67"/>
      <c r="G29" s="50"/>
      <c r="H29" s="50"/>
      <c r="I29" s="20">
        <f>+I30</f>
        <v>0.03</v>
      </c>
      <c r="J29" s="51"/>
      <c r="K29" s="51"/>
      <c r="L29" s="52">
        <f>+L30</f>
        <v>100</v>
      </c>
      <c r="M29" s="53"/>
      <c r="N29" s="68"/>
      <c r="Q29" s="10"/>
      <c r="R29" s="11"/>
      <c r="W29" s="83"/>
      <c r="X29" s="83"/>
      <c r="Y29" s="83"/>
      <c r="Z29" s="83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2:142" s="12" customFormat="1" ht="12.75" customHeight="1" x14ac:dyDescent="0.2">
      <c r="B30" s="30">
        <f>+G10</f>
        <v>44680</v>
      </c>
      <c r="C30" s="32"/>
      <c r="D30" s="30">
        <f t="shared" ref="D30:D38" si="4">+F30</f>
        <v>44680</v>
      </c>
      <c r="E30" s="39">
        <f>+G10</f>
        <v>44680</v>
      </c>
      <c r="F30" s="59">
        <f>+E30</f>
        <v>44680</v>
      </c>
      <c r="G30" s="60"/>
      <c r="H30" s="60"/>
      <c r="I30" s="61">
        <f t="shared" ref="I30" si="5">+$O$14</f>
        <v>0.03</v>
      </c>
      <c r="J30" s="60"/>
      <c r="K30" s="60"/>
      <c r="L30" s="62">
        <v>100</v>
      </c>
      <c r="M30" s="62">
        <f>-O12*100</f>
        <v>-100</v>
      </c>
      <c r="N30" s="63">
        <f>+O13*-1</f>
        <v>-70000000</v>
      </c>
      <c r="O30" s="63"/>
      <c r="P30" s="1"/>
      <c r="Q30" s="16">
        <f>H30/365</f>
        <v>0</v>
      </c>
      <c r="R30" s="16">
        <f t="shared" ref="R30:R39" si="6">1/(1+$K$10)^(H30/365)</f>
        <v>1</v>
      </c>
      <c r="S30" s="17">
        <f t="shared" ref="S30" si="7">+M30</f>
        <v>-100</v>
      </c>
      <c r="T30" s="17">
        <f t="shared" ref="T30" si="8">+S30*R30</f>
        <v>-100</v>
      </c>
      <c r="U30" s="17">
        <f t="shared" ref="U30" si="9">+T30*Q30</f>
        <v>0</v>
      </c>
      <c r="W30" s="84"/>
      <c r="X30" s="84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44771</v>
      </c>
      <c r="C31" s="32">
        <f>+B31-B30</f>
        <v>91</v>
      </c>
      <c r="D31" s="30">
        <f t="shared" si="4"/>
        <v>44771</v>
      </c>
      <c r="E31" s="39">
        <f>+E30+C31</f>
        <v>44771</v>
      </c>
      <c r="F31" s="42">
        <f t="shared" ref="F31:F38" si="10">+E31</f>
        <v>44771</v>
      </c>
      <c r="G31" s="43">
        <f>+E31-E30</f>
        <v>91</v>
      </c>
      <c r="H31" s="43">
        <f t="shared" ref="H31:H38" si="11">+IF(F31-$G$14&lt;0,0,F31-$G$14)</f>
        <v>91</v>
      </c>
      <c r="I31" s="41">
        <f t="shared" ref="I31:I37" si="12">+$O$14+O31</f>
        <v>0.47437499999999999</v>
      </c>
      <c r="J31" s="44">
        <f>+I31/365*G31*L30</f>
        <v>11.826883561643834</v>
      </c>
      <c r="K31" s="45">
        <v>0</v>
      </c>
      <c r="L31" s="45">
        <f>+L30-K31</f>
        <v>100</v>
      </c>
      <c r="M31" s="45">
        <f t="shared" ref="M31:M38" si="13">+IF(F31&gt;$G$14,J31+K31,0)</f>
        <v>11.826883561643834</v>
      </c>
      <c r="N31" s="47">
        <f t="shared" ref="N31:N38" si="14">+M31*$O$13/100</f>
        <v>8278818.4931506841</v>
      </c>
      <c r="O31" s="90">
        <v>0.44437500000000002</v>
      </c>
      <c r="P31" s="1"/>
      <c r="Q31" s="16">
        <f t="shared" ref="Q31:Q38" si="15">H31/365</f>
        <v>0.24931506849315069</v>
      </c>
      <c r="R31" s="16">
        <f t="shared" ref="R31:R38" si="16">1/(1+$K$10)^(H31/365)</f>
        <v>0.89426017688509496</v>
      </c>
      <c r="S31" s="17">
        <f t="shared" ref="S31:S38" si="17">+M31</f>
        <v>11.826883561643834</v>
      </c>
      <c r="T31" s="17">
        <f t="shared" ref="T31:T38" si="18">+S31*R31</f>
        <v>10.576310985835036</v>
      </c>
      <c r="U31" s="17">
        <f t="shared" ref="U31:U38" si="19">+T31*Q31</f>
        <v>2.6368336978383242</v>
      </c>
      <c r="W31" s="84"/>
      <c r="X31" s="84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44863</v>
      </c>
      <c r="C32" s="32">
        <f>+B32-B31</f>
        <v>92</v>
      </c>
      <c r="D32" s="30">
        <f t="shared" si="4"/>
        <v>44863</v>
      </c>
      <c r="E32" s="39">
        <f>+E31+C32</f>
        <v>44863</v>
      </c>
      <c r="F32" s="42">
        <f t="shared" si="10"/>
        <v>44863</v>
      </c>
      <c r="G32" s="43">
        <f>+E32-E31</f>
        <v>92</v>
      </c>
      <c r="H32" s="43">
        <f t="shared" si="11"/>
        <v>183</v>
      </c>
      <c r="I32" s="41">
        <f t="shared" si="12"/>
        <v>0.47437499999999999</v>
      </c>
      <c r="J32" s="44">
        <f>+I32/365*G32*L31</f>
        <v>11.956849315068492</v>
      </c>
      <c r="K32" s="45">
        <v>0</v>
      </c>
      <c r="L32" s="45">
        <f>+L31-K32</f>
        <v>100</v>
      </c>
      <c r="M32" s="45">
        <f t="shared" si="13"/>
        <v>11.956849315068492</v>
      </c>
      <c r="N32" s="47">
        <f t="shared" si="14"/>
        <v>8369794.5205479441</v>
      </c>
      <c r="O32" s="90">
        <f t="shared" ref="O32:O37" si="20">+$O$31</f>
        <v>0.44437500000000002</v>
      </c>
      <c r="P32" s="1"/>
      <c r="Q32" s="16">
        <f t="shared" si="15"/>
        <v>0.50136986301369868</v>
      </c>
      <c r="R32" s="16">
        <f t="shared" si="16"/>
        <v>0.79871974119168709</v>
      </c>
      <c r="S32" s="17">
        <f t="shared" si="17"/>
        <v>11.956849315068492</v>
      </c>
      <c r="T32" s="17">
        <f t="shared" si="18"/>
        <v>9.5501715903995077</v>
      </c>
      <c r="U32" s="17">
        <f t="shared" si="19"/>
        <v>4.7881682220359183</v>
      </c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44955</v>
      </c>
      <c r="C33" s="32">
        <f t="shared" ref="C33:C38" si="21">+B33-B32</f>
        <v>92</v>
      </c>
      <c r="D33" s="30">
        <f t="shared" si="4"/>
        <v>44955</v>
      </c>
      <c r="E33" s="39">
        <f t="shared" ref="E33:E38" si="22">+E32+C33</f>
        <v>44955</v>
      </c>
      <c r="F33" s="42">
        <f t="shared" si="10"/>
        <v>44955</v>
      </c>
      <c r="G33" s="43">
        <f t="shared" ref="G33:G37" si="23">+E33-E32</f>
        <v>92</v>
      </c>
      <c r="H33" s="43">
        <f t="shared" si="11"/>
        <v>275</v>
      </c>
      <c r="I33" s="41">
        <f t="shared" si="12"/>
        <v>0.47437499999999999</v>
      </c>
      <c r="J33" s="44">
        <f t="shared" ref="J33:J37" si="24">+I33/365*G33*L32</f>
        <v>11.956849315068492</v>
      </c>
      <c r="K33" s="45">
        <v>0</v>
      </c>
      <c r="L33" s="45">
        <f t="shared" ref="L33:L37" si="25">+L32-K33</f>
        <v>100</v>
      </c>
      <c r="M33" s="45">
        <f t="shared" si="13"/>
        <v>11.956849315068492</v>
      </c>
      <c r="N33" s="47">
        <f t="shared" si="14"/>
        <v>8369794.5205479441</v>
      </c>
      <c r="O33" s="90">
        <f t="shared" si="20"/>
        <v>0.44437500000000002</v>
      </c>
      <c r="P33" s="1"/>
      <c r="Q33" s="16">
        <f t="shared" si="15"/>
        <v>0.75342465753424659</v>
      </c>
      <c r="R33" s="16">
        <f t="shared" si="16"/>
        <v>0.71338659761351253</v>
      </c>
      <c r="S33" s="17">
        <f t="shared" si="17"/>
        <v>11.956849315068492</v>
      </c>
      <c r="T33" s="17">
        <f t="shared" si="18"/>
        <v>8.5298560510541694</v>
      </c>
      <c r="U33" s="17">
        <f t="shared" si="19"/>
        <v>6.4266038740819083</v>
      </c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45045</v>
      </c>
      <c r="C34" s="32">
        <f t="shared" si="21"/>
        <v>90</v>
      </c>
      <c r="D34" s="30">
        <f t="shared" si="4"/>
        <v>45045</v>
      </c>
      <c r="E34" s="39">
        <f t="shared" si="22"/>
        <v>45045</v>
      </c>
      <c r="F34" s="42">
        <f t="shared" si="10"/>
        <v>45045</v>
      </c>
      <c r="G34" s="43">
        <f t="shared" si="23"/>
        <v>90</v>
      </c>
      <c r="H34" s="43">
        <f t="shared" si="11"/>
        <v>365</v>
      </c>
      <c r="I34" s="41">
        <f t="shared" si="12"/>
        <v>0.47437499999999999</v>
      </c>
      <c r="J34" s="44">
        <f t="shared" si="24"/>
        <v>11.696917808219178</v>
      </c>
      <c r="K34" s="45">
        <v>25</v>
      </c>
      <c r="L34" s="45">
        <f t="shared" si="25"/>
        <v>75</v>
      </c>
      <c r="M34" s="45">
        <f t="shared" si="13"/>
        <v>36.696917808219176</v>
      </c>
      <c r="N34" s="47">
        <f t="shared" si="14"/>
        <v>25687842.465753421</v>
      </c>
      <c r="O34" s="90">
        <f t="shared" si="20"/>
        <v>0.44437500000000002</v>
      </c>
      <c r="P34" s="1"/>
      <c r="Q34" s="16">
        <f t="shared" si="15"/>
        <v>1</v>
      </c>
      <c r="R34" s="16">
        <f t="shared" si="16"/>
        <v>0.63873718658284195</v>
      </c>
      <c r="S34" s="17">
        <f t="shared" si="17"/>
        <v>36.696917808219176</v>
      </c>
      <c r="T34" s="17">
        <f t="shared" si="18"/>
        <v>23.439686037083707</v>
      </c>
      <c r="U34" s="17">
        <f t="shared" si="19"/>
        <v>23.439686037083707</v>
      </c>
      <c r="W34" s="84"/>
      <c r="X34" s="85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0">
        <v>45136</v>
      </c>
      <c r="C35" s="32">
        <f t="shared" si="21"/>
        <v>91</v>
      </c>
      <c r="D35" s="30">
        <f t="shared" si="4"/>
        <v>45136</v>
      </c>
      <c r="E35" s="39">
        <f t="shared" si="22"/>
        <v>45136</v>
      </c>
      <c r="F35" s="42">
        <f t="shared" si="10"/>
        <v>45136</v>
      </c>
      <c r="G35" s="43">
        <f t="shared" si="23"/>
        <v>91</v>
      </c>
      <c r="H35" s="43">
        <f t="shared" si="11"/>
        <v>456</v>
      </c>
      <c r="I35" s="41">
        <f t="shared" si="12"/>
        <v>0.47437499999999999</v>
      </c>
      <c r="J35" s="44">
        <f t="shared" si="24"/>
        <v>8.8701626712328761</v>
      </c>
      <c r="K35" s="45">
        <v>0</v>
      </c>
      <c r="L35" s="45">
        <f t="shared" si="25"/>
        <v>75</v>
      </c>
      <c r="M35" s="45">
        <f t="shared" si="13"/>
        <v>8.8701626712328761</v>
      </c>
      <c r="N35" s="47">
        <f t="shared" si="14"/>
        <v>6209113.8698630128</v>
      </c>
      <c r="O35" s="90">
        <f t="shared" si="20"/>
        <v>0.44437500000000002</v>
      </c>
      <c r="P35" s="1"/>
      <c r="Q35" s="16">
        <f t="shared" si="15"/>
        <v>1.2493150684931507</v>
      </c>
      <c r="R35" s="16">
        <f t="shared" si="16"/>
        <v>0.57119722945666007</v>
      </c>
      <c r="S35" s="17">
        <f t="shared" si="17"/>
        <v>8.8701626712328761</v>
      </c>
      <c r="T35" s="17">
        <f t="shared" si="18"/>
        <v>5.0666123426381056</v>
      </c>
      <c r="U35" s="17">
        <f t="shared" si="19"/>
        <v>6.3297951458711674</v>
      </c>
      <c r="W35" s="84"/>
      <c r="X35" s="85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0">
        <v>45228</v>
      </c>
      <c r="C36" s="32">
        <f t="shared" si="21"/>
        <v>92</v>
      </c>
      <c r="D36" s="30">
        <f t="shared" si="4"/>
        <v>45228</v>
      </c>
      <c r="E36" s="39">
        <f t="shared" si="22"/>
        <v>45228</v>
      </c>
      <c r="F36" s="42">
        <f t="shared" si="10"/>
        <v>45228</v>
      </c>
      <c r="G36" s="43">
        <f t="shared" si="23"/>
        <v>92</v>
      </c>
      <c r="H36" s="43">
        <f t="shared" si="11"/>
        <v>548</v>
      </c>
      <c r="I36" s="41">
        <f t="shared" si="12"/>
        <v>0.47437499999999999</v>
      </c>
      <c r="J36" s="44">
        <f t="shared" si="24"/>
        <v>8.9676369863013683</v>
      </c>
      <c r="K36" s="45">
        <v>25</v>
      </c>
      <c r="L36" s="45">
        <f t="shared" si="25"/>
        <v>50</v>
      </c>
      <c r="M36" s="45">
        <f t="shared" si="13"/>
        <v>33.967636986301372</v>
      </c>
      <c r="N36" s="47">
        <f t="shared" si="14"/>
        <v>23777345.890410963</v>
      </c>
      <c r="O36" s="90">
        <f t="shared" si="20"/>
        <v>0.44437500000000002</v>
      </c>
      <c r="P36" s="1"/>
      <c r="Q36" s="16">
        <f t="shared" si="15"/>
        <v>1.5013698630136987</v>
      </c>
      <c r="R36" s="16">
        <f t="shared" si="16"/>
        <v>0.51017200035695387</v>
      </c>
      <c r="S36" s="17">
        <f t="shared" si="17"/>
        <v>33.967636986301372</v>
      </c>
      <c r="T36" s="17">
        <f t="shared" si="18"/>
        <v>17.329337308700222</v>
      </c>
      <c r="U36" s="17">
        <f t="shared" si="19"/>
        <v>26.017744781281429</v>
      </c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0">
        <v>45320</v>
      </c>
      <c r="C37" s="32">
        <f t="shared" si="21"/>
        <v>92</v>
      </c>
      <c r="D37" s="30">
        <f t="shared" si="4"/>
        <v>45320</v>
      </c>
      <c r="E37" s="39">
        <f t="shared" si="22"/>
        <v>45320</v>
      </c>
      <c r="F37" s="42">
        <f t="shared" si="10"/>
        <v>45320</v>
      </c>
      <c r="G37" s="43">
        <f t="shared" si="23"/>
        <v>92</v>
      </c>
      <c r="H37" s="43">
        <f t="shared" si="11"/>
        <v>640</v>
      </c>
      <c r="I37" s="41">
        <f t="shared" si="12"/>
        <v>0.47437499999999999</v>
      </c>
      <c r="J37" s="44">
        <f t="shared" si="24"/>
        <v>5.9784246575342461</v>
      </c>
      <c r="K37" s="45">
        <v>0</v>
      </c>
      <c r="L37" s="45">
        <f t="shared" si="25"/>
        <v>50</v>
      </c>
      <c r="M37" s="45">
        <f t="shared" si="13"/>
        <v>5.9784246575342461</v>
      </c>
      <c r="N37" s="47">
        <f t="shared" si="14"/>
        <v>4184897.2602739721</v>
      </c>
      <c r="O37" s="90">
        <f t="shared" si="20"/>
        <v>0.44437500000000002</v>
      </c>
      <c r="P37" s="1"/>
      <c r="Q37" s="16">
        <f t="shared" si="15"/>
        <v>1.7534246575342465</v>
      </c>
      <c r="R37" s="16">
        <f t="shared" si="16"/>
        <v>0.45566654830556091</v>
      </c>
      <c r="S37" s="17">
        <f t="shared" si="17"/>
        <v>5.9784246575342461</v>
      </c>
      <c r="T37" s="17">
        <f t="shared" si="18"/>
        <v>2.7241681280034848</v>
      </c>
      <c r="U37" s="17">
        <f t="shared" si="19"/>
        <v>4.7766235669102199</v>
      </c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0">
        <v>45411</v>
      </c>
      <c r="C38" s="32">
        <f t="shared" si="21"/>
        <v>91</v>
      </c>
      <c r="D38" s="30">
        <f t="shared" si="4"/>
        <v>45411</v>
      </c>
      <c r="E38" s="39">
        <f t="shared" si="22"/>
        <v>45411</v>
      </c>
      <c r="F38" s="54">
        <f t="shared" si="10"/>
        <v>45411</v>
      </c>
      <c r="G38" s="48">
        <f>+E38-E37</f>
        <v>91</v>
      </c>
      <c r="H38" s="48">
        <f t="shared" si="11"/>
        <v>731</v>
      </c>
      <c r="I38" s="49">
        <f t="shared" ref="I38" si="26">+$O$14+O38</f>
        <v>0.47437499999999999</v>
      </c>
      <c r="J38" s="55">
        <f>+I38/365*G38*L37</f>
        <v>5.9134417808219171</v>
      </c>
      <c r="K38" s="56">
        <v>50</v>
      </c>
      <c r="L38" s="56">
        <f>+L37-K38</f>
        <v>0</v>
      </c>
      <c r="M38" s="56">
        <f t="shared" si="13"/>
        <v>55.91344178082192</v>
      </c>
      <c r="N38" s="57">
        <f t="shared" si="14"/>
        <v>39139409.246575348</v>
      </c>
      <c r="O38" s="91">
        <f>+$O$31</f>
        <v>0.44437500000000002</v>
      </c>
      <c r="P38" s="1"/>
      <c r="Q38" s="16">
        <f t="shared" si="15"/>
        <v>2.0027397260273974</v>
      </c>
      <c r="R38" s="16">
        <f t="shared" si="16"/>
        <v>0.40748444808835149</v>
      </c>
      <c r="S38" s="17">
        <f t="shared" si="17"/>
        <v>55.91344178082192</v>
      </c>
      <c r="T38" s="17">
        <f t="shared" si="18"/>
        <v>22.783857964778392</v>
      </c>
      <c r="U38" s="17">
        <f t="shared" si="19"/>
        <v>45.630137458227409</v>
      </c>
      <c r="W38" s="87"/>
      <c r="X38" s="84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ref="Q39" si="27">H39/365</f>
        <v>0</v>
      </c>
      <c r="R39" s="1">
        <f t="shared" si="6"/>
        <v>1</v>
      </c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F40" s="18"/>
      <c r="G40" s="13"/>
      <c r="H40" s="13"/>
      <c r="I40" s="13"/>
      <c r="J40" s="13"/>
      <c r="K40" s="22">
        <f>SUM(K32:K38)</f>
        <v>100</v>
      </c>
      <c r="L40" s="15"/>
      <c r="M40" s="15"/>
      <c r="N40" s="23">
        <f>SUM(N30:N38)</f>
        <v>54017016.267123282</v>
      </c>
      <c r="Q40" s="19"/>
      <c r="R40" s="19"/>
      <c r="S40" s="17"/>
      <c r="T40" s="17">
        <f>SUM(T31:T38)</f>
        <v>100.00000040849262</v>
      </c>
      <c r="U40" s="17">
        <f>SUM(U31:U38)</f>
        <v>120.04559278333008</v>
      </c>
      <c r="W40" s="88"/>
      <c r="X40" s="89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W41" s="25"/>
      <c r="X41" s="89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x14ac:dyDescent="0.2">
      <c r="Q42" s="1"/>
      <c r="R42" s="1"/>
      <c r="S42" s="1"/>
      <c r="T42" s="1"/>
      <c r="U42" s="1"/>
      <c r="W42" s="25"/>
      <c r="X42" s="88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/>
      <c r="H51" s="58" t="s">
        <v>25</v>
      </c>
      <c r="I51" s="58"/>
      <c r="J51" s="58" t="s">
        <v>26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1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2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3</v>
      </c>
      <c r="H54" s="58">
        <v>1</v>
      </c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4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5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6</v>
      </c>
      <c r="H57" s="58">
        <v>2</v>
      </c>
      <c r="I57" s="58">
        <v>1</v>
      </c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7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8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9</v>
      </c>
      <c r="H60" s="58">
        <v>3</v>
      </c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10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11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12</v>
      </c>
      <c r="H63" s="58">
        <v>4</v>
      </c>
      <c r="I63" s="58">
        <v>2</v>
      </c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13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14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15</v>
      </c>
      <c r="H66" s="58">
        <v>5</v>
      </c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16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17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18</v>
      </c>
      <c r="H69" s="58">
        <v>6</v>
      </c>
      <c r="I69" s="58">
        <v>3</v>
      </c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19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20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21</v>
      </c>
      <c r="H72" s="58">
        <v>7</v>
      </c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22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23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24</v>
      </c>
      <c r="H75" s="58">
        <v>8</v>
      </c>
      <c r="I75" s="58">
        <v>4</v>
      </c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25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26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27</v>
      </c>
      <c r="H78" s="58">
        <v>9</v>
      </c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28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29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30</v>
      </c>
      <c r="H81" s="58">
        <v>10</v>
      </c>
      <c r="I81" s="58">
        <v>5</v>
      </c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31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32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33</v>
      </c>
      <c r="H84" s="58">
        <v>11</v>
      </c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34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35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36</v>
      </c>
      <c r="H87" s="58">
        <v>12</v>
      </c>
      <c r="I87" s="58">
        <v>6</v>
      </c>
      <c r="J87" s="58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37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38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39</v>
      </c>
      <c r="H90" s="58">
        <v>13</v>
      </c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40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41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42</v>
      </c>
      <c r="H93" s="58">
        <v>14</v>
      </c>
      <c r="I93" s="58">
        <v>7</v>
      </c>
      <c r="J93" s="58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43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44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45</v>
      </c>
      <c r="H96" s="58">
        <v>15</v>
      </c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46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47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48</v>
      </c>
      <c r="H99" s="58">
        <v>16</v>
      </c>
      <c r="I99" s="58">
        <v>8</v>
      </c>
      <c r="J99" s="58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49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50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51</v>
      </c>
      <c r="H102" s="58">
        <v>17</v>
      </c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52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53</v>
      </c>
      <c r="H104" s="58"/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54</v>
      </c>
      <c r="H105" s="58">
        <v>18</v>
      </c>
      <c r="I105" s="58">
        <v>9</v>
      </c>
      <c r="J105" s="58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55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56</v>
      </c>
      <c r="H107" s="58"/>
      <c r="I107" s="58"/>
      <c r="J107" s="58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8">
        <v>57</v>
      </c>
      <c r="H108" s="58">
        <v>19</v>
      </c>
      <c r="I108" s="58"/>
      <c r="J108" s="58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8">
        <v>58</v>
      </c>
      <c r="H109" s="58"/>
      <c r="I109" s="58"/>
      <c r="J109" s="58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8">
        <v>59</v>
      </c>
      <c r="H110" s="58"/>
      <c r="I110" s="58"/>
      <c r="J110" s="58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8">
        <v>60</v>
      </c>
      <c r="H111" s="58">
        <v>20</v>
      </c>
      <c r="I111" s="58">
        <v>10</v>
      </c>
      <c r="J111" s="58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6">
    <mergeCell ref="L27:L28"/>
    <mergeCell ref="M27:M28"/>
    <mergeCell ref="N27:N28"/>
    <mergeCell ref="O27:O28"/>
    <mergeCell ref="F27:F28"/>
    <mergeCell ref="G27:G28"/>
    <mergeCell ref="H27:H28"/>
    <mergeCell ref="I27:I28"/>
    <mergeCell ref="J27:J28"/>
    <mergeCell ref="K27:K28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69"/>
  <sheetViews>
    <sheetView showGridLines="0" topLeftCell="F13" zoomScaleNormal="100" zoomScaleSheetLayoutView="130" workbookViewId="0">
      <selection activeCell="P31" sqref="P31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1.7109375" style="1" bestFit="1" customWidth="1"/>
    <col min="23" max="23" width="13" style="1" bestFit="1" customWidth="1"/>
    <col min="24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92" t="s">
        <v>41</v>
      </c>
      <c r="G8" s="93"/>
      <c r="H8" s="93"/>
      <c r="I8" s="93"/>
      <c r="J8" s="93"/>
      <c r="K8" s="93"/>
      <c r="L8" s="93"/>
      <c r="M8" s="93"/>
      <c r="N8" s="93"/>
      <c r="O8" s="94"/>
      <c r="P8" s="9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80" t="s">
        <v>0</v>
      </c>
      <c r="G10" s="96">
        <v>44617</v>
      </c>
      <c r="H10" s="97"/>
      <c r="I10" s="98" t="s">
        <v>1</v>
      </c>
      <c r="J10" s="99"/>
      <c r="K10" s="100">
        <f>XIRR(N26:N30,D26:D30)</f>
        <v>1.0025027394294742E-2</v>
      </c>
      <c r="L10" s="101"/>
      <c r="M10" s="98" t="s">
        <v>29</v>
      </c>
      <c r="N10" s="99"/>
      <c r="O10" s="100" t="s">
        <v>42</v>
      </c>
      <c r="P10" s="101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81" t="s">
        <v>3</v>
      </c>
      <c r="G11" s="108">
        <f>+F30</f>
        <v>45347</v>
      </c>
      <c r="H11" s="109"/>
      <c r="I11" s="104" t="s">
        <v>19</v>
      </c>
      <c r="J11" s="105"/>
      <c r="K11" s="102">
        <f>+NOMINAL(K10,4)</f>
        <v>9.9875583427984083E-3</v>
      </c>
      <c r="L11" s="103"/>
      <c r="M11" s="104" t="s">
        <v>33</v>
      </c>
      <c r="N11" s="105"/>
      <c r="O11" s="110" t="s">
        <v>34</v>
      </c>
      <c r="P11" s="111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81" t="s">
        <v>30</v>
      </c>
      <c r="G12" s="102" t="s">
        <v>24</v>
      </c>
      <c r="H12" s="103"/>
      <c r="I12" s="104" t="s">
        <v>32</v>
      </c>
      <c r="J12" s="105"/>
      <c r="K12" s="106">
        <f>+(U32/T32)*12</f>
        <v>17.876225909064328</v>
      </c>
      <c r="L12" s="107"/>
      <c r="M12" s="104" t="s">
        <v>2</v>
      </c>
      <c r="N12" s="105"/>
      <c r="O12" s="102">
        <v>1</v>
      </c>
      <c r="P12" s="103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81" t="s">
        <v>43</v>
      </c>
      <c r="G13" s="120">
        <v>106.83669999999999</v>
      </c>
      <c r="H13" s="121"/>
      <c r="I13" s="104" t="s">
        <v>27</v>
      </c>
      <c r="J13" s="105"/>
      <c r="K13" s="106" t="s">
        <v>37</v>
      </c>
      <c r="L13" s="107"/>
      <c r="M13" s="104" t="s">
        <v>36</v>
      </c>
      <c r="N13" s="105"/>
      <c r="O13" s="134">
        <v>368163</v>
      </c>
      <c r="P13" s="135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82" t="s">
        <v>4</v>
      </c>
      <c r="G14" s="112">
        <f>+$G$10</f>
        <v>44617</v>
      </c>
      <c r="H14" s="113"/>
      <c r="I14" s="114" t="s">
        <v>28</v>
      </c>
      <c r="J14" s="115"/>
      <c r="K14" s="116">
        <v>24</v>
      </c>
      <c r="L14" s="117"/>
      <c r="M14" s="114" t="s">
        <v>31</v>
      </c>
      <c r="N14" s="115"/>
      <c r="O14" s="136">
        <v>0.01</v>
      </c>
      <c r="P14" s="137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2" t="s">
        <v>11</v>
      </c>
      <c r="J16" s="73" t="s">
        <v>17</v>
      </c>
      <c r="K16" s="73" t="s">
        <v>12</v>
      </c>
      <c r="L16" s="74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5">
        <f t="shared" ref="I17:I20" si="0">+F27</f>
        <v>44798</v>
      </c>
      <c r="J17" s="65">
        <f>+$O$13*K27/100</f>
        <v>36816.300000000003</v>
      </c>
      <c r="K17" s="66">
        <f>+$O$13*J27/100</f>
        <v>1825.6850136986302</v>
      </c>
      <c r="L17" s="21">
        <f>SUM(J17:K17)</f>
        <v>38641.985013698635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5">
        <f t="shared" si="0"/>
        <v>44982</v>
      </c>
      <c r="J18" s="65">
        <f>+$O$13*K28/100</f>
        <v>73632.600000000006</v>
      </c>
      <c r="K18" s="64">
        <f>+$O$13*J28/100</f>
        <v>1670.3504876712329</v>
      </c>
      <c r="L18" s="21">
        <f t="shared" ref="L18:L20" si="1">SUM(J18:K18)</f>
        <v>75302.950487671245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5">
        <f t="shared" si="0"/>
        <v>45163</v>
      </c>
      <c r="J19" s="65">
        <f>+$O$13*K29/100</f>
        <v>110448.9</v>
      </c>
      <c r="K19" s="64">
        <f>+$O$13*J29/100</f>
        <v>1277.9795095890411</v>
      </c>
      <c r="L19" s="21">
        <f t="shared" si="1"/>
        <v>111726.87950958904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5">
        <f t="shared" si="0"/>
        <v>45347</v>
      </c>
      <c r="J20" s="65">
        <f>+$O$13*K30/100</f>
        <v>147265.20000000001</v>
      </c>
      <c r="K20" s="64">
        <f>+$O$13*J30/100</f>
        <v>742.37799452054799</v>
      </c>
      <c r="L20" s="21">
        <f t="shared" si="1"/>
        <v>148007.57799452057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6" t="s">
        <v>13</v>
      </c>
      <c r="J21" s="77">
        <f>SUM(J17:J20)</f>
        <v>368163</v>
      </c>
      <c r="K21" s="77">
        <f>SUM(K17:K20)</f>
        <v>5516.3930054794519</v>
      </c>
      <c r="L21" s="78">
        <f>SUM(J21:K21)</f>
        <v>373679.39300547948</v>
      </c>
      <c r="M21" s="8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x14ac:dyDescent="0.2">
      <c r="G22" s="46"/>
      <c r="H22" s="6"/>
      <c r="I22" s="6"/>
      <c r="L22" s="7"/>
      <c r="M22" s="8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4.25" customHeight="1" x14ac:dyDescent="0.2">
      <c r="F23" s="130" t="s">
        <v>18</v>
      </c>
      <c r="G23" s="132" t="s">
        <v>35</v>
      </c>
      <c r="H23" s="132" t="s">
        <v>14</v>
      </c>
      <c r="I23" s="132" t="s">
        <v>22</v>
      </c>
      <c r="J23" s="124" t="s">
        <v>21</v>
      </c>
      <c r="K23" s="124" t="s">
        <v>5</v>
      </c>
      <c r="L23" s="124" t="s">
        <v>15</v>
      </c>
      <c r="M23" s="126" t="s">
        <v>6</v>
      </c>
      <c r="N23" s="128" t="s">
        <v>16</v>
      </c>
      <c r="Q23" s="9" t="s">
        <v>20</v>
      </c>
      <c r="R23" s="9" t="s">
        <v>7</v>
      </c>
      <c r="S23" s="9" t="s">
        <v>8</v>
      </c>
      <c r="T23" s="9" t="s">
        <v>9</v>
      </c>
      <c r="U23" s="9" t="s">
        <v>10</v>
      </c>
      <c r="V23" s="9" t="s">
        <v>44</v>
      </c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x14ac:dyDescent="0.2">
      <c r="F24" s="131"/>
      <c r="G24" s="133"/>
      <c r="H24" s="133"/>
      <c r="I24" s="133"/>
      <c r="J24" s="125"/>
      <c r="K24" s="125"/>
      <c r="L24" s="125"/>
      <c r="M24" s="127"/>
      <c r="N24" s="129"/>
      <c r="Q24" s="10"/>
      <c r="R24" s="11">
        <f>+K10</f>
        <v>1.0025027394294742E-2</v>
      </c>
      <c r="V24" s="1">
        <v>1</v>
      </c>
      <c r="W24" s="25">
        <v>2</v>
      </c>
      <c r="X24" s="25">
        <v>3</v>
      </c>
      <c r="Y24" s="25">
        <v>4</v>
      </c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x14ac:dyDescent="0.2">
      <c r="B25" s="1" t="s">
        <v>23</v>
      </c>
      <c r="F25" s="67"/>
      <c r="G25" s="50"/>
      <c r="H25" s="50"/>
      <c r="I25" s="20">
        <f>+I26</f>
        <v>0.01</v>
      </c>
      <c r="J25" s="51"/>
      <c r="K25" s="51"/>
      <c r="L25" s="52">
        <f>+L26</f>
        <v>100</v>
      </c>
      <c r="M25" s="53"/>
      <c r="N25" s="68"/>
      <c r="Q25" s="10"/>
      <c r="R25" s="11"/>
      <c r="V25" s="86">
        <f>+J21</f>
        <v>368163</v>
      </c>
      <c r="W25" s="83">
        <f>+V25-J17</f>
        <v>331346.7</v>
      </c>
      <c r="X25" s="83">
        <f>+W25-J18</f>
        <v>257714.1</v>
      </c>
      <c r="Y25" s="83">
        <f>+X25-J20</f>
        <v>110448.9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s="12" customFormat="1" ht="12.75" customHeight="1" x14ac:dyDescent="0.2">
      <c r="B26" s="30">
        <f>+G10</f>
        <v>44617</v>
      </c>
      <c r="C26" s="32"/>
      <c r="D26" s="30">
        <f>+G14</f>
        <v>44617</v>
      </c>
      <c r="E26" s="39">
        <f>+G10</f>
        <v>44617</v>
      </c>
      <c r="F26" s="59">
        <f>+E26</f>
        <v>44617</v>
      </c>
      <c r="G26" s="60"/>
      <c r="H26" s="60"/>
      <c r="I26" s="61">
        <f t="shared" ref="I26" si="2">+$O$14</f>
        <v>0.01</v>
      </c>
      <c r="J26" s="60"/>
      <c r="K26" s="60"/>
      <c r="L26" s="62">
        <v>100</v>
      </c>
      <c r="M26" s="62">
        <f>-O12*100</f>
        <v>-100</v>
      </c>
      <c r="N26" s="63">
        <f>+O13*-1</f>
        <v>-368163</v>
      </c>
      <c r="O26" s="1"/>
      <c r="P26" s="1"/>
      <c r="Q26" s="16">
        <f t="shared" ref="Q26:Q31" si="3">H26/365</f>
        <v>0</v>
      </c>
      <c r="R26" s="16">
        <f t="shared" ref="R26:R31" si="4">1/(1+$K$10)^(H26/365)</f>
        <v>1</v>
      </c>
      <c r="S26" s="17">
        <f t="shared" ref="S26:S30" si="5">+M26</f>
        <v>-100</v>
      </c>
      <c r="T26" s="17">
        <f t="shared" ref="T26:T30" si="6">+S26*R26</f>
        <v>-100</v>
      </c>
      <c r="U26" s="17">
        <f t="shared" ref="U26:U30" si="7">+T26*Q26</f>
        <v>0</v>
      </c>
      <c r="V26" s="86">
        <f>+V25*4%*H27/365</f>
        <v>7302.7400547945208</v>
      </c>
      <c r="W26" s="86">
        <f>+W25*4%*G28/365</f>
        <v>6681.4019506849327</v>
      </c>
      <c r="X26" s="86"/>
      <c r="Y26" s="8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</row>
    <row r="27" spans="2:142" s="12" customFormat="1" ht="12.75" customHeight="1" x14ac:dyDescent="0.2">
      <c r="B27" s="30">
        <v>44798</v>
      </c>
      <c r="C27" s="32">
        <f t="shared" ref="C27:C30" si="8">+B27-B26</f>
        <v>181</v>
      </c>
      <c r="D27" s="30">
        <f t="shared" ref="D27:D30" si="9">+F27</f>
        <v>44798</v>
      </c>
      <c r="E27" s="39">
        <f t="shared" ref="E27:E30" si="10">+E26+C27</f>
        <v>44798</v>
      </c>
      <c r="F27" s="42">
        <f t="shared" ref="F27:F30" si="11">+E27</f>
        <v>44798</v>
      </c>
      <c r="G27" s="43">
        <f t="shared" ref="G27:G30" si="12">+E27-E26</f>
        <v>181</v>
      </c>
      <c r="H27" s="43">
        <f t="shared" ref="H27:H30" si="13">+IF(F27-$G$14&lt;0,0,F27-$G$14)</f>
        <v>181</v>
      </c>
      <c r="I27" s="41">
        <f>+$O$14</f>
        <v>0.01</v>
      </c>
      <c r="J27" s="44">
        <f t="shared" ref="J27:J30" si="14">+I27/365*G27*L26</f>
        <v>0.49589041095890413</v>
      </c>
      <c r="K27" s="45">
        <v>10</v>
      </c>
      <c r="L27" s="45">
        <f t="shared" ref="L27:L30" si="15">+L26-K27</f>
        <v>90</v>
      </c>
      <c r="M27" s="45">
        <f t="shared" ref="M27:M30" si="16">+IF(F27&gt;$G$14,J27+K27,0)</f>
        <v>10.495890410958904</v>
      </c>
      <c r="N27" s="47">
        <f t="shared" ref="N27:N30" si="17">+M27*$O$13/100</f>
        <v>38641.985013698628</v>
      </c>
      <c r="O27" s="1"/>
      <c r="P27" s="1"/>
      <c r="Q27" s="16">
        <f t="shared" si="3"/>
        <v>0.49589041095890413</v>
      </c>
      <c r="R27" s="16">
        <f t="shared" si="4"/>
        <v>0.99506565261873703</v>
      </c>
      <c r="S27" s="17">
        <f t="shared" si="5"/>
        <v>10.495890410958904</v>
      </c>
      <c r="T27" s="79">
        <f t="shared" si="6"/>
        <v>10.444100041595565</v>
      </c>
      <c r="U27" s="17">
        <f t="shared" si="7"/>
        <v>5.1791290617227324</v>
      </c>
      <c r="V27" s="86">
        <f>+V26*G13</f>
        <v>780200.6484120657</v>
      </c>
      <c r="W27" s="86">
        <f>+W26*G13</f>
        <v>713818.93578474096</v>
      </c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</row>
    <row r="28" spans="2:142" s="12" customFormat="1" ht="12.75" customHeight="1" x14ac:dyDescent="0.2">
      <c r="B28" s="30">
        <v>44982</v>
      </c>
      <c r="C28" s="32">
        <f t="shared" si="8"/>
        <v>184</v>
      </c>
      <c r="D28" s="30">
        <f t="shared" si="9"/>
        <v>44982</v>
      </c>
      <c r="E28" s="39">
        <f t="shared" si="10"/>
        <v>44982</v>
      </c>
      <c r="F28" s="42">
        <f t="shared" si="11"/>
        <v>44982</v>
      </c>
      <c r="G28" s="43">
        <f t="shared" si="12"/>
        <v>184</v>
      </c>
      <c r="H28" s="43">
        <f t="shared" si="13"/>
        <v>365</v>
      </c>
      <c r="I28" s="41">
        <f t="shared" ref="I28:I30" si="18">+$O$14</f>
        <v>0.01</v>
      </c>
      <c r="J28" s="44">
        <f t="shared" si="14"/>
        <v>0.4536986301369863</v>
      </c>
      <c r="K28" s="45">
        <v>20</v>
      </c>
      <c r="L28" s="45">
        <f t="shared" si="15"/>
        <v>70</v>
      </c>
      <c r="M28" s="45">
        <f t="shared" si="16"/>
        <v>20.453698630136987</v>
      </c>
      <c r="N28" s="47">
        <f t="shared" si="17"/>
        <v>75302.950487671231</v>
      </c>
      <c r="O28" s="1"/>
      <c r="P28" s="1"/>
      <c r="Q28" s="16">
        <f t="shared" si="3"/>
        <v>1</v>
      </c>
      <c r="R28" s="16">
        <f t="shared" si="4"/>
        <v>0.99007447625316991</v>
      </c>
      <c r="S28" s="17">
        <f t="shared" si="5"/>
        <v>20.453698630136987</v>
      </c>
      <c r="T28" s="79">
        <f t="shared" si="6"/>
        <v>20.250684958673055</v>
      </c>
      <c r="U28" s="17">
        <f t="shared" si="7"/>
        <v>20.250684958673055</v>
      </c>
      <c r="X28" s="86"/>
      <c r="Y28" s="8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</row>
    <row r="29" spans="2:142" s="12" customFormat="1" ht="12.75" customHeight="1" x14ac:dyDescent="0.2">
      <c r="B29" s="30">
        <v>45163</v>
      </c>
      <c r="C29" s="32">
        <f t="shared" si="8"/>
        <v>181</v>
      </c>
      <c r="D29" s="30">
        <f t="shared" si="9"/>
        <v>45163</v>
      </c>
      <c r="E29" s="39">
        <f t="shared" si="10"/>
        <v>45163</v>
      </c>
      <c r="F29" s="42">
        <f t="shared" si="11"/>
        <v>45163</v>
      </c>
      <c r="G29" s="43">
        <f t="shared" si="12"/>
        <v>181</v>
      </c>
      <c r="H29" s="43">
        <f t="shared" si="13"/>
        <v>546</v>
      </c>
      <c r="I29" s="41">
        <f t="shared" si="18"/>
        <v>0.01</v>
      </c>
      <c r="J29" s="44">
        <f t="shared" si="14"/>
        <v>0.34712328767123285</v>
      </c>
      <c r="K29" s="45">
        <v>30</v>
      </c>
      <c r="L29" s="45">
        <f t="shared" si="15"/>
        <v>40</v>
      </c>
      <c r="M29" s="45">
        <f t="shared" si="16"/>
        <v>30.347123287671234</v>
      </c>
      <c r="N29" s="47">
        <f t="shared" si="17"/>
        <v>111726.87950958904</v>
      </c>
      <c r="O29" s="1"/>
      <c r="P29" s="1"/>
      <c r="Q29" s="16">
        <f t="shared" si="3"/>
        <v>1.4958904109589042</v>
      </c>
      <c r="R29" s="16">
        <f t="shared" si="4"/>
        <v>0.98518910485401467</v>
      </c>
      <c r="S29" s="17">
        <f t="shared" si="5"/>
        <v>30.347123287671234</v>
      </c>
      <c r="T29" s="79">
        <f t="shared" si="6"/>
        <v>29.897655226675248</v>
      </c>
      <c r="U29" s="17">
        <f t="shared" si="7"/>
        <v>44.723615763738863</v>
      </c>
      <c r="V29" s="12" t="s">
        <v>45</v>
      </c>
      <c r="W29" s="26" t="s">
        <v>46</v>
      </c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</row>
    <row r="30" spans="2:142" s="12" customFormat="1" ht="12.75" customHeight="1" x14ac:dyDescent="0.2">
      <c r="B30" s="30">
        <v>45347</v>
      </c>
      <c r="C30" s="32">
        <f t="shared" si="8"/>
        <v>184</v>
      </c>
      <c r="D30" s="30">
        <f t="shared" si="9"/>
        <v>45347</v>
      </c>
      <c r="E30" s="39">
        <f t="shared" si="10"/>
        <v>45347</v>
      </c>
      <c r="F30" s="54">
        <f t="shared" si="11"/>
        <v>45347</v>
      </c>
      <c r="G30" s="48">
        <f t="shared" si="12"/>
        <v>184</v>
      </c>
      <c r="H30" s="48">
        <f t="shared" si="13"/>
        <v>730</v>
      </c>
      <c r="I30" s="49">
        <f t="shared" si="18"/>
        <v>0.01</v>
      </c>
      <c r="J30" s="55">
        <f t="shared" si="14"/>
        <v>0.20164383561643837</v>
      </c>
      <c r="K30" s="56">
        <v>40</v>
      </c>
      <c r="L30" s="56">
        <f t="shared" si="15"/>
        <v>0</v>
      </c>
      <c r="M30" s="56">
        <f t="shared" si="16"/>
        <v>40.201643835616437</v>
      </c>
      <c r="N30" s="57">
        <f t="shared" si="17"/>
        <v>148007.57799452054</v>
      </c>
      <c r="O30" s="1"/>
      <c r="P30" s="1" t="s">
        <v>47</v>
      </c>
      <c r="Q30" s="16">
        <f t="shared" si="3"/>
        <v>2</v>
      </c>
      <c r="R30" s="16">
        <f t="shared" si="4"/>
        <v>0.98024746852798872</v>
      </c>
      <c r="S30" s="17">
        <f t="shared" si="5"/>
        <v>40.201643835616437</v>
      </c>
      <c r="T30" s="79">
        <f t="shared" si="6"/>
        <v>39.407559600526838</v>
      </c>
      <c r="U30" s="17">
        <f t="shared" si="7"/>
        <v>78.815119201053676</v>
      </c>
      <c r="V30" s="32">
        <f>+V27*0.3333</f>
        <v>260040.8761157415</v>
      </c>
      <c r="W30" s="32">
        <f>+W27*0.3333</f>
        <v>237915.85129705415</v>
      </c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ht="12.75" customHeight="1" x14ac:dyDescent="0.2">
      <c r="F31" s="40"/>
      <c r="G31" s="13"/>
      <c r="H31" s="15"/>
      <c r="I31" s="41"/>
      <c r="J31" s="14"/>
      <c r="K31" s="38"/>
      <c r="L31" s="15"/>
      <c r="M31" s="15"/>
      <c r="N31" s="37"/>
      <c r="Q31" s="1">
        <f t="shared" si="3"/>
        <v>0</v>
      </c>
      <c r="R31" s="1">
        <f t="shared" si="4"/>
        <v>1</v>
      </c>
      <c r="S31" s="1"/>
      <c r="T31" s="1"/>
      <c r="U31" s="1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</row>
    <row r="32" spans="2:142" x14ac:dyDescent="0.2">
      <c r="F32" s="18"/>
      <c r="G32" s="13"/>
      <c r="H32" s="13"/>
      <c r="I32" s="13"/>
      <c r="J32" s="13"/>
      <c r="K32" s="22">
        <f>SUM(K27:K30)</f>
        <v>100</v>
      </c>
      <c r="L32" s="15"/>
      <c r="M32" s="15"/>
      <c r="N32" s="23">
        <f>SUM(N26:N30)</f>
        <v>5516.3930054794764</v>
      </c>
      <c r="Q32" s="19"/>
      <c r="R32" s="19"/>
      <c r="S32" s="17"/>
      <c r="T32" s="17">
        <f>SUM(T27:T30)</f>
        <v>99.999999827470702</v>
      </c>
      <c r="U32" s="17">
        <f>SUM(U27:U30)</f>
        <v>148.96854898518833</v>
      </c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</row>
    <row r="33" spans="7:142" x14ac:dyDescent="0.2"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</row>
    <row r="34" spans="7:142" x14ac:dyDescent="0.2">
      <c r="Q34" s="1"/>
      <c r="R34" s="1"/>
      <c r="S34" s="1"/>
      <c r="T34" s="1"/>
      <c r="U34" s="1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</row>
    <row r="35" spans="7:142" x14ac:dyDescent="0.2">
      <c r="Q35" s="1"/>
      <c r="R35" s="1"/>
      <c r="S35" s="1"/>
      <c r="T35" s="1"/>
      <c r="U35" s="1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</row>
    <row r="36" spans="7:142" x14ac:dyDescent="0.2">
      <c r="Q36" s="1"/>
      <c r="R36" s="1"/>
      <c r="S36" s="1"/>
      <c r="T36" s="1"/>
      <c r="U36" s="1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</row>
    <row r="37" spans="7:142" x14ac:dyDescent="0.2">
      <c r="Q37" s="1"/>
      <c r="R37" s="1"/>
      <c r="S37" s="1"/>
      <c r="T37" s="1"/>
      <c r="U37" s="1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</row>
    <row r="38" spans="7:142" ht="9.75" customHeight="1" x14ac:dyDescent="0.2">
      <c r="Q38" s="1"/>
      <c r="R38" s="1"/>
      <c r="S38" s="1"/>
      <c r="T38" s="1"/>
      <c r="U38" s="1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</row>
    <row r="39" spans="7:142" x14ac:dyDescent="0.2">
      <c r="Q39" s="1"/>
      <c r="R39" s="1"/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7:142" x14ac:dyDescent="0.2">
      <c r="Q40" s="1"/>
      <c r="R40" s="1"/>
      <c r="S40" s="1"/>
      <c r="T40" s="1"/>
      <c r="U40" s="1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7:142" x14ac:dyDescent="0.2">
      <c r="Q41" s="1"/>
      <c r="R41" s="1"/>
      <c r="S41" s="1"/>
      <c r="T41" s="1"/>
      <c r="U41" s="1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7:142" hidden="1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7:142" hidden="1" x14ac:dyDescent="0.2">
      <c r="G43" s="58"/>
      <c r="H43" s="58" t="s">
        <v>25</v>
      </c>
      <c r="I43" s="58"/>
      <c r="J43" s="58" t="s">
        <v>26</v>
      </c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7:142" hidden="1" x14ac:dyDescent="0.2">
      <c r="G44" s="58">
        <v>1</v>
      </c>
      <c r="H44" s="58"/>
      <c r="I44" s="58"/>
      <c r="J44" s="58"/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7:142" hidden="1" x14ac:dyDescent="0.2">
      <c r="G45" s="58">
        <v>2</v>
      </c>
      <c r="H45" s="58"/>
      <c r="I45" s="58"/>
      <c r="J45" s="58"/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7:142" hidden="1" x14ac:dyDescent="0.2">
      <c r="G46" s="58">
        <v>3</v>
      </c>
      <c r="H46" s="58">
        <v>1</v>
      </c>
      <c r="I46" s="58"/>
      <c r="J46" s="58"/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7:142" hidden="1" x14ac:dyDescent="0.2">
      <c r="G47" s="58">
        <v>4</v>
      </c>
      <c r="H47" s="58"/>
      <c r="I47" s="58"/>
      <c r="J47" s="58"/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7:142" hidden="1" x14ac:dyDescent="0.2">
      <c r="G48" s="58">
        <v>5</v>
      </c>
      <c r="H48" s="58"/>
      <c r="I48" s="58"/>
      <c r="J48" s="58"/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hidden="1" x14ac:dyDescent="0.2">
      <c r="G49" s="58">
        <v>6</v>
      </c>
      <c r="H49" s="58">
        <v>2</v>
      </c>
      <c r="I49" s="58">
        <v>1</v>
      </c>
      <c r="J49" s="58"/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G50" s="58">
        <v>7</v>
      </c>
      <c r="H50" s="58"/>
      <c r="I50" s="58"/>
      <c r="J50" s="58"/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>
        <v>8</v>
      </c>
      <c r="H51" s="58"/>
      <c r="I51" s="58"/>
      <c r="J51" s="58"/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9</v>
      </c>
      <c r="H52" s="58">
        <v>3</v>
      </c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10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11</v>
      </c>
      <c r="H54" s="58"/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12</v>
      </c>
      <c r="H55" s="58">
        <v>4</v>
      </c>
      <c r="I55" s="58">
        <v>2</v>
      </c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13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14</v>
      </c>
      <c r="H57" s="58"/>
      <c r="I57" s="58"/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15</v>
      </c>
      <c r="H58" s="58">
        <v>5</v>
      </c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16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17</v>
      </c>
      <c r="H60" s="58"/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18</v>
      </c>
      <c r="H61" s="58">
        <v>6</v>
      </c>
      <c r="I61" s="58">
        <v>3</v>
      </c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19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20</v>
      </c>
      <c r="H63" s="58"/>
      <c r="I63" s="58"/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21</v>
      </c>
      <c r="H64" s="58">
        <v>7</v>
      </c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22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23</v>
      </c>
      <c r="H66" s="58"/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24</v>
      </c>
      <c r="H67" s="58">
        <v>8</v>
      </c>
      <c r="I67" s="58">
        <v>4</v>
      </c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25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26</v>
      </c>
      <c r="H69" s="58"/>
      <c r="I69" s="58"/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27</v>
      </c>
      <c r="H70" s="58">
        <v>9</v>
      </c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28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29</v>
      </c>
      <c r="H72" s="58"/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30</v>
      </c>
      <c r="H73" s="58">
        <v>10</v>
      </c>
      <c r="I73" s="58">
        <v>5</v>
      </c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31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32</v>
      </c>
      <c r="H75" s="58"/>
      <c r="I75" s="58"/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33</v>
      </c>
      <c r="H76" s="58">
        <v>11</v>
      </c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34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35</v>
      </c>
      <c r="H78" s="58"/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36</v>
      </c>
      <c r="H79" s="58">
        <v>12</v>
      </c>
      <c r="I79" s="58">
        <v>6</v>
      </c>
      <c r="J79" s="58">
        <v>1</v>
      </c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37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38</v>
      </c>
      <c r="H81" s="58"/>
      <c r="I81" s="58"/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39</v>
      </c>
      <c r="H82" s="58">
        <v>13</v>
      </c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40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41</v>
      </c>
      <c r="H84" s="58"/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42</v>
      </c>
      <c r="H85" s="58">
        <v>14</v>
      </c>
      <c r="I85" s="58">
        <v>7</v>
      </c>
      <c r="J85" s="58">
        <v>2</v>
      </c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43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44</v>
      </c>
      <c r="H87" s="58"/>
      <c r="I87" s="58"/>
      <c r="J87" s="58"/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45</v>
      </c>
      <c r="H88" s="58">
        <v>15</v>
      </c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46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47</v>
      </c>
      <c r="H90" s="58"/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48</v>
      </c>
      <c r="H91" s="58">
        <v>16</v>
      </c>
      <c r="I91" s="58">
        <v>8</v>
      </c>
      <c r="J91" s="58">
        <v>3</v>
      </c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49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50</v>
      </c>
      <c r="H93" s="58"/>
      <c r="I93" s="58"/>
      <c r="J93" s="58"/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51</v>
      </c>
      <c r="H94" s="58">
        <v>17</v>
      </c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52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53</v>
      </c>
      <c r="H96" s="58"/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54</v>
      </c>
      <c r="H97" s="58">
        <v>18</v>
      </c>
      <c r="I97" s="58">
        <v>9</v>
      </c>
      <c r="J97" s="58">
        <v>4</v>
      </c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55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56</v>
      </c>
      <c r="H99" s="58"/>
      <c r="I99" s="58"/>
      <c r="J99" s="58"/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57</v>
      </c>
      <c r="H100" s="58">
        <v>19</v>
      </c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58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59</v>
      </c>
      <c r="H102" s="58"/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60</v>
      </c>
      <c r="H103" s="58">
        <v>20</v>
      </c>
      <c r="I103" s="58">
        <v>10</v>
      </c>
      <c r="J103" s="58">
        <v>5</v>
      </c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x14ac:dyDescent="0.2"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x14ac:dyDescent="0.2"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x14ac:dyDescent="0.2"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x14ac:dyDescent="0.2"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x14ac:dyDescent="0.2"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x14ac:dyDescent="0.2"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x14ac:dyDescent="0.2"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</sheetData>
  <sheetProtection selectLockedCells="1"/>
  <mergeCells count="35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3:L24"/>
    <mergeCell ref="M23:M24"/>
    <mergeCell ref="N23:N24"/>
    <mergeCell ref="F23:F24"/>
    <mergeCell ref="G23:G24"/>
    <mergeCell ref="H23:H24"/>
    <mergeCell ref="I23:I24"/>
    <mergeCell ref="J23:J24"/>
    <mergeCell ref="K23:K2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CLASE A (ARS)</vt:lpstr>
      <vt:lpstr>CLASE B (DL)</vt:lpstr>
      <vt:lpstr>Feriados</vt:lpstr>
      <vt:lpstr>Hoja2</vt:lpstr>
      <vt:lpstr>'CLASE A (ARS)'!Área_de_impresión</vt:lpstr>
      <vt:lpstr>'CLASE B (DL)'!Área_de_impresión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2022-04-26T23:02:05Z</dcterms:modified>
</cp:coreProperties>
</file>