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IS\MIS 21\"/>
    </mc:Choice>
  </mc:AlternateContent>
  <workbookProtection workbookPassword="DF07" lockStructure="1"/>
  <bookViews>
    <workbookView xWindow="0" yWindow="0" windowWidth="20490" windowHeight="7020" firstSheet="2" activeTab="2"/>
  </bookViews>
  <sheets>
    <sheet name="Carga" sheetId="1" state="hidden" r:id="rId1"/>
    <sheet name="Flujos de fondo MIN" sheetId="2" state="hidden" r:id="rId2"/>
    <sheet name="Calculadora VDFA" sheetId="3" r:id="rId3"/>
    <sheet name="Calculadora VDFB" sheetId="4" r:id="rId4"/>
  </sheets>
  <externalReferences>
    <externalReference r:id="rId5"/>
    <externalReference r:id="rId6"/>
  </externalReferences>
  <definedNames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>#REF!</definedName>
    <definedName name="TABLE_B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>#REF!</definedName>
    <definedName name="VIEW_2">#REF!</definedName>
    <definedName name="VIEW_3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I5" i="1" l="1"/>
  <c r="M5" i="1" l="1"/>
  <c r="M9" i="4" l="1"/>
  <c r="AA54" i="4" l="1"/>
  <c r="M6" i="4"/>
  <c r="Y54" i="4" l="1"/>
  <c r="Z54" i="4"/>
  <c r="Y54" i="3"/>
  <c r="Z54" i="3"/>
  <c r="AA54" i="3"/>
  <c r="F5" i="2" l="1"/>
  <c r="E5" i="2"/>
  <c r="E17" i="2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B18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5" i="2"/>
  <c r="C5" i="2"/>
  <c r="P5" i="2" s="1"/>
  <c r="O5" i="2"/>
  <c r="X5" i="2"/>
  <c r="AF5" i="2"/>
  <c r="D20" i="1"/>
  <c r="J19" i="1"/>
  <c r="I20" i="1" s="1"/>
  <c r="J20" i="1"/>
  <c r="J21" i="1"/>
  <c r="J22" i="1"/>
  <c r="J23" i="1"/>
  <c r="I24" i="1" s="1"/>
  <c r="B37" i="4" s="1"/>
  <c r="J24" i="1"/>
  <c r="I25" i="1" s="1"/>
  <c r="B38" i="4" s="1"/>
  <c r="J25" i="1"/>
  <c r="I26" i="1" s="1"/>
  <c r="B39" i="4" s="1"/>
  <c r="J26" i="1"/>
  <c r="J27" i="1"/>
  <c r="I28" i="1" s="1"/>
  <c r="B41" i="4" s="1"/>
  <c r="J28" i="1"/>
  <c r="J29" i="1"/>
  <c r="J30" i="1"/>
  <c r="J31" i="1"/>
  <c r="I32" i="1" s="1"/>
  <c r="B45" i="4" s="1"/>
  <c r="J32" i="1"/>
  <c r="J33" i="1"/>
  <c r="I34" i="1" s="1"/>
  <c r="B47" i="4" s="1"/>
  <c r="J34" i="1"/>
  <c r="J35" i="1"/>
  <c r="I36" i="1" s="1"/>
  <c r="B49" i="4" s="1"/>
  <c r="J36" i="1"/>
  <c r="J37" i="1"/>
  <c r="I38" i="1" s="1"/>
  <c r="B51" i="4" s="1"/>
  <c r="J38" i="1"/>
  <c r="I39" i="1" s="1"/>
  <c r="B52" i="4" s="1"/>
  <c r="J39" i="1"/>
  <c r="I40" i="1" s="1"/>
  <c r="B53" i="4" s="1"/>
  <c r="J40" i="1"/>
  <c r="J41" i="1"/>
  <c r="I42" i="1" s="1"/>
  <c r="J42" i="1"/>
  <c r="N42" i="1" s="1"/>
  <c r="J43" i="1"/>
  <c r="I44" i="1" s="1"/>
  <c r="J44" i="1"/>
  <c r="N44" i="1" s="1"/>
  <c r="J45" i="1"/>
  <c r="J46" i="1"/>
  <c r="I47" i="1" s="1"/>
  <c r="J47" i="1"/>
  <c r="I48" i="1" s="1"/>
  <c r="J48" i="1"/>
  <c r="I49" i="1" s="1"/>
  <c r="J49" i="1"/>
  <c r="J7" i="1"/>
  <c r="I8" i="1" s="1"/>
  <c r="J8" i="1"/>
  <c r="I9" i="1" s="1"/>
  <c r="B22" i="4" s="1"/>
  <c r="J9" i="1"/>
  <c r="I10" i="1" s="1"/>
  <c r="J10" i="1"/>
  <c r="I11" i="1" s="1"/>
  <c r="J11" i="1"/>
  <c r="I12" i="1" s="1"/>
  <c r="J12" i="1"/>
  <c r="I13" i="1" s="1"/>
  <c r="B26" i="4" s="1"/>
  <c r="J13" i="1"/>
  <c r="I14" i="1" s="1"/>
  <c r="B27" i="4" s="1"/>
  <c r="J14" i="1"/>
  <c r="I15" i="1" s="1"/>
  <c r="B28" i="4" s="1"/>
  <c r="J15" i="1"/>
  <c r="I16" i="1" s="1"/>
  <c r="B29" i="4" s="1"/>
  <c r="J16" i="1"/>
  <c r="I17" i="1" s="1"/>
  <c r="B30" i="4" s="1"/>
  <c r="J17" i="1"/>
  <c r="I18" i="1" s="1"/>
  <c r="B31" i="4" s="1"/>
  <c r="J18" i="1"/>
  <c r="I19" i="1" s="1"/>
  <c r="J6" i="1"/>
  <c r="I7" i="1" s="1"/>
  <c r="B20" i="4" s="1"/>
  <c r="N49" i="1" l="1"/>
  <c r="I43" i="1"/>
  <c r="N36" i="1"/>
  <c r="N28" i="1"/>
  <c r="N26" i="1"/>
  <c r="N40" i="1"/>
  <c r="N32" i="1"/>
  <c r="I46" i="1"/>
  <c r="N48" i="1"/>
  <c r="I45" i="1"/>
  <c r="N45" i="1" s="1"/>
  <c r="N47" i="1"/>
  <c r="N46" i="1"/>
  <c r="N43" i="1"/>
  <c r="B26" i="3"/>
  <c r="I27" i="1"/>
  <c r="B40" i="4" s="1"/>
  <c r="N38" i="1"/>
  <c r="I33" i="1"/>
  <c r="B46" i="4" s="1"/>
  <c r="N20" i="1"/>
  <c r="N25" i="1"/>
  <c r="N34" i="1"/>
  <c r="I35" i="1"/>
  <c r="B48" i="4" s="1"/>
  <c r="N24" i="1"/>
  <c r="B21" i="4"/>
  <c r="B21" i="3"/>
  <c r="B33" i="4"/>
  <c r="B33" i="3"/>
  <c r="B25" i="4"/>
  <c r="B25" i="3"/>
  <c r="B24" i="4"/>
  <c r="B24" i="3"/>
  <c r="B23" i="4"/>
  <c r="B23" i="3"/>
  <c r="B32" i="4"/>
  <c r="B32" i="3"/>
  <c r="N19" i="1"/>
  <c r="I37" i="1"/>
  <c r="I23" i="1"/>
  <c r="B49" i="3"/>
  <c r="B41" i="3"/>
  <c r="I41" i="1"/>
  <c r="N41" i="1" s="1"/>
  <c r="I31" i="1"/>
  <c r="N31" i="1" s="1"/>
  <c r="I22" i="1"/>
  <c r="B47" i="3"/>
  <c r="B39" i="3"/>
  <c r="B31" i="3"/>
  <c r="N39" i="1"/>
  <c r="B38" i="3"/>
  <c r="B30" i="3"/>
  <c r="B22" i="3"/>
  <c r="I30" i="1"/>
  <c r="I21" i="1"/>
  <c r="N21" i="1" s="1"/>
  <c r="B53" i="3"/>
  <c r="B45" i="3"/>
  <c r="B37" i="3"/>
  <c r="B29" i="3"/>
  <c r="N37" i="1"/>
  <c r="B52" i="3"/>
  <c r="B28" i="3"/>
  <c r="B20" i="3"/>
  <c r="I29" i="1"/>
  <c r="B51" i="3"/>
  <c r="B27" i="3"/>
  <c r="Q5" i="2"/>
  <c r="G5" i="2"/>
  <c r="H5" i="2" s="1"/>
  <c r="K5" i="2" s="1"/>
  <c r="J5" i="2" s="1"/>
  <c r="Y5" i="2"/>
  <c r="Z5" i="2" s="1"/>
  <c r="J5" i="1"/>
  <c r="B40" i="3" l="1"/>
  <c r="N27" i="1"/>
  <c r="B48" i="3"/>
  <c r="N35" i="1"/>
  <c r="N33" i="1"/>
  <c r="B46" i="3"/>
  <c r="B42" i="4"/>
  <c r="B42" i="3"/>
  <c r="B43" i="4"/>
  <c r="B43" i="3"/>
  <c r="N29" i="1"/>
  <c r="B34" i="4"/>
  <c r="B34" i="3"/>
  <c r="B35" i="4"/>
  <c r="B35" i="3"/>
  <c r="B36" i="4"/>
  <c r="B36" i="3"/>
  <c r="N22" i="1"/>
  <c r="B44" i="4"/>
  <c r="B44" i="3"/>
  <c r="B50" i="4"/>
  <c r="B50" i="3"/>
  <c r="N30" i="1"/>
  <c r="N5" i="1"/>
  <c r="I6" i="1"/>
  <c r="N23" i="1"/>
  <c r="L5" i="2"/>
  <c r="AN5" i="2" s="1"/>
  <c r="I5" i="2"/>
  <c r="A18" i="3"/>
  <c r="N15" i="1"/>
  <c r="N14" i="1"/>
  <c r="M6" i="1"/>
  <c r="C65" i="2"/>
  <c r="P65" i="2" s="1"/>
  <c r="C64" i="2"/>
  <c r="P64" i="2" s="1"/>
  <c r="C63" i="2"/>
  <c r="P63" i="2" s="1"/>
  <c r="C62" i="2"/>
  <c r="P62" i="2" s="1"/>
  <c r="C61" i="2"/>
  <c r="P61" i="2" s="1"/>
  <c r="C60" i="2"/>
  <c r="P60" i="2" s="1"/>
  <c r="C59" i="2"/>
  <c r="P59" i="2" s="1"/>
  <c r="C58" i="2"/>
  <c r="P58" i="2" s="1"/>
  <c r="C57" i="2"/>
  <c r="P57" i="2" s="1"/>
  <c r="C56" i="2"/>
  <c r="P56" i="2" s="1"/>
  <c r="C55" i="2"/>
  <c r="P55" i="2" s="1"/>
  <c r="C54" i="2"/>
  <c r="P54" i="2" s="1"/>
  <c r="C53" i="2"/>
  <c r="P53" i="2" s="1"/>
  <c r="C52" i="2"/>
  <c r="P52" i="2" s="1"/>
  <c r="C51" i="2"/>
  <c r="P51" i="2" s="1"/>
  <c r="C50" i="2"/>
  <c r="P50" i="2" s="1"/>
  <c r="C49" i="2"/>
  <c r="P49" i="2" s="1"/>
  <c r="C48" i="2"/>
  <c r="P48" i="2" s="1"/>
  <c r="C47" i="2"/>
  <c r="P47" i="2" s="1"/>
  <c r="C46" i="2"/>
  <c r="P46" i="2" s="1"/>
  <c r="C45" i="2"/>
  <c r="P45" i="2" s="1"/>
  <c r="C44" i="2"/>
  <c r="P44" i="2" s="1"/>
  <c r="C43" i="2"/>
  <c r="P43" i="2" s="1"/>
  <c r="C42" i="2"/>
  <c r="P42" i="2" s="1"/>
  <c r="C41" i="2"/>
  <c r="P41" i="2" s="1"/>
  <c r="C40" i="2"/>
  <c r="P40" i="2" s="1"/>
  <c r="C39" i="2"/>
  <c r="P39" i="2" s="1"/>
  <c r="C38" i="2"/>
  <c r="P38" i="2" s="1"/>
  <c r="C37" i="2"/>
  <c r="P37" i="2" s="1"/>
  <c r="C36" i="2"/>
  <c r="P36" i="2" s="1"/>
  <c r="C35" i="2"/>
  <c r="P35" i="2" s="1"/>
  <c r="C34" i="2"/>
  <c r="P34" i="2" s="1"/>
  <c r="C33" i="2"/>
  <c r="P33" i="2" s="1"/>
  <c r="C32" i="2"/>
  <c r="P32" i="2" s="1"/>
  <c r="C31" i="2"/>
  <c r="P31" i="2" s="1"/>
  <c r="C30" i="2"/>
  <c r="P30" i="2" s="1"/>
  <c r="C29" i="2"/>
  <c r="P29" i="2" s="1"/>
  <c r="C28" i="2"/>
  <c r="P28" i="2" s="1"/>
  <c r="C27" i="2"/>
  <c r="P27" i="2" s="1"/>
  <c r="C26" i="2"/>
  <c r="P26" i="2" s="1"/>
  <c r="C25" i="2"/>
  <c r="P25" i="2" s="1"/>
  <c r="C24" i="2"/>
  <c r="P24" i="2" s="1"/>
  <c r="C23" i="2"/>
  <c r="P23" i="2" s="1"/>
  <c r="C22" i="2"/>
  <c r="P22" i="2" s="1"/>
  <c r="C21" i="2"/>
  <c r="P21" i="2" s="1"/>
  <c r="C20" i="2"/>
  <c r="P20" i="2" s="1"/>
  <c r="C19" i="2"/>
  <c r="P19" i="2" s="1"/>
  <c r="C18" i="2"/>
  <c r="P18" i="2" s="1"/>
  <c r="C17" i="2"/>
  <c r="P17" i="2" s="1"/>
  <c r="C16" i="2"/>
  <c r="P16" i="2" s="1"/>
  <c r="C15" i="2"/>
  <c r="P15" i="2" s="1"/>
  <c r="C14" i="2"/>
  <c r="P14" i="2" s="1"/>
  <c r="C13" i="2"/>
  <c r="P13" i="2" s="1"/>
  <c r="C12" i="2"/>
  <c r="P12" i="2" s="1"/>
  <c r="C11" i="2"/>
  <c r="P11" i="2" s="1"/>
  <c r="C10" i="2"/>
  <c r="P10" i="2" s="1"/>
  <c r="C9" i="2"/>
  <c r="P9" i="2" s="1"/>
  <c r="C8" i="2"/>
  <c r="P8" i="2" s="1"/>
  <c r="C7" i="2"/>
  <c r="P7" i="2" s="1"/>
  <c r="C6" i="2"/>
  <c r="P6" i="2" s="1"/>
  <c r="B19" i="4" l="1"/>
  <c r="B19" i="3"/>
  <c r="N6" i="1"/>
  <c r="N5" i="2"/>
  <c r="T5" i="2" s="1"/>
  <c r="R5" i="2" s="1"/>
  <c r="N17" i="1"/>
  <c r="N16" i="1"/>
  <c r="S5" i="2" l="1"/>
  <c r="U5" i="2" s="1"/>
  <c r="N18" i="1"/>
  <c r="AR5" i="2" l="1"/>
  <c r="W5" i="2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AB5" i="2" l="1"/>
  <c r="AA5" i="2" s="1"/>
  <c r="AC5" i="2" s="1"/>
  <c r="AE5" i="2" s="1"/>
  <c r="N10" i="1" l="1"/>
  <c r="B4" i="2"/>
  <c r="AL5" i="2" s="1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A53" i="3" s="1"/>
  <c r="E39" i="2"/>
  <c r="A52" i="3" s="1"/>
  <c r="E38" i="2"/>
  <c r="A51" i="3" s="1"/>
  <c r="E37" i="2"/>
  <c r="A50" i="3" s="1"/>
  <c r="E36" i="2"/>
  <c r="A49" i="3" s="1"/>
  <c r="E35" i="2"/>
  <c r="A48" i="3" s="1"/>
  <c r="E34" i="2"/>
  <c r="A47" i="3" s="1"/>
  <c r="E33" i="2"/>
  <c r="A46" i="3" s="1"/>
  <c r="E32" i="2"/>
  <c r="A45" i="3" s="1"/>
  <c r="E31" i="2"/>
  <c r="A44" i="3" s="1"/>
  <c r="E30" i="2"/>
  <c r="A43" i="3" s="1"/>
  <c r="E29" i="2"/>
  <c r="A42" i="3" s="1"/>
  <c r="E28" i="2"/>
  <c r="A41" i="3" s="1"/>
  <c r="E27" i="2"/>
  <c r="A40" i="3" s="1"/>
  <c r="E26" i="2"/>
  <c r="A39" i="3" s="1"/>
  <c r="E25" i="2"/>
  <c r="A38" i="3" s="1"/>
  <c r="E24" i="2"/>
  <c r="A37" i="3" s="1"/>
  <c r="E23" i="2"/>
  <c r="A36" i="3" s="1"/>
  <c r="E22" i="2"/>
  <c r="A35" i="3" s="1"/>
  <c r="E21" i="2"/>
  <c r="A34" i="3" s="1"/>
  <c r="E20" i="2"/>
  <c r="A33" i="3" s="1"/>
  <c r="E19" i="2"/>
  <c r="A32" i="3" s="1"/>
  <c r="E18" i="2"/>
  <c r="A31" i="3" s="1"/>
  <c r="A30" i="3"/>
  <c r="E16" i="2"/>
  <c r="A29" i="3" s="1"/>
  <c r="E15" i="2"/>
  <c r="A28" i="3" s="1"/>
  <c r="E14" i="2"/>
  <c r="A27" i="3" s="1"/>
  <c r="E13" i="2"/>
  <c r="A26" i="3" s="1"/>
  <c r="E12" i="2"/>
  <c r="A25" i="3" s="1"/>
  <c r="E11" i="2"/>
  <c r="A24" i="3" s="1"/>
  <c r="E10" i="2"/>
  <c r="A23" i="3" s="1"/>
  <c r="E9" i="2"/>
  <c r="A22" i="3" s="1"/>
  <c r="E8" i="2"/>
  <c r="A21" i="3" s="1"/>
  <c r="E7" i="2"/>
  <c r="A20" i="3" s="1"/>
  <c r="E6" i="2"/>
  <c r="A19" i="3" s="1"/>
  <c r="C23" i="4" l="1"/>
  <c r="C18" i="4"/>
  <c r="C18" i="3"/>
  <c r="N11" i="1"/>
  <c r="G6" i="2"/>
  <c r="G7" i="2"/>
  <c r="G8" i="2"/>
  <c r="G9" i="2"/>
  <c r="C24" i="4" l="1"/>
  <c r="C27" i="4" s="1"/>
  <c r="C30" i="4" s="1"/>
  <c r="C33" i="4" s="1"/>
  <c r="C36" i="4" s="1"/>
  <c r="C39" i="4" s="1"/>
  <c r="C42" i="4" s="1"/>
  <c r="C45" i="4" s="1"/>
  <c r="C48" i="4" s="1"/>
  <c r="C51" i="4" s="1"/>
  <c r="C19" i="4"/>
  <c r="N7" i="1"/>
  <c r="N8" i="1"/>
  <c r="N13" i="1"/>
  <c r="N12" i="1"/>
  <c r="N9" i="1"/>
  <c r="M8" i="4"/>
  <c r="M8" i="3"/>
  <c r="C21" i="4" l="1"/>
  <c r="C26" i="4"/>
  <c r="C29" i="4" s="1"/>
  <c r="C32" i="4" s="1"/>
  <c r="C35" i="4" s="1"/>
  <c r="C38" i="4" s="1"/>
  <c r="C41" i="4" s="1"/>
  <c r="C44" i="4" s="1"/>
  <c r="C47" i="4" s="1"/>
  <c r="C50" i="4" s="1"/>
  <c r="C53" i="4" s="1"/>
  <c r="C20" i="4"/>
  <c r="C22" i="4"/>
  <c r="C25" i="4"/>
  <c r="C28" i="4" s="1"/>
  <c r="C31" i="4" s="1"/>
  <c r="C34" i="4" s="1"/>
  <c r="C37" i="4" s="1"/>
  <c r="C40" i="4" s="1"/>
  <c r="C43" i="4" s="1"/>
  <c r="C46" i="4" s="1"/>
  <c r="C49" i="4" s="1"/>
  <c r="C52" i="4" s="1"/>
  <c r="D18" i="4" l="1"/>
  <c r="B18" i="4" l="1"/>
  <c r="B17" i="4"/>
  <c r="G10" i="4"/>
  <c r="J9" i="4"/>
  <c r="J8" i="4"/>
  <c r="J7" i="4"/>
  <c r="J6" i="4"/>
  <c r="G5" i="4"/>
  <c r="N17" i="4" s="1"/>
  <c r="M17" i="4" s="1"/>
  <c r="G10" i="3"/>
  <c r="J9" i="3"/>
  <c r="J8" i="3"/>
  <c r="J7" i="3"/>
  <c r="J6" i="3"/>
  <c r="G5" i="3"/>
  <c r="N17" i="3" s="1"/>
  <c r="M17" i="3" s="1"/>
  <c r="BY10" i="2"/>
  <c r="BY9" i="2"/>
  <c r="BY8" i="2"/>
  <c r="BY7" i="2"/>
  <c r="BY6" i="2"/>
  <c r="BG66" i="2"/>
  <c r="BF66" i="2"/>
  <c r="BY5" i="2"/>
  <c r="BE66" i="2" l="1"/>
  <c r="AR4" i="2" s="1"/>
  <c r="AR66" i="2" s="1"/>
  <c r="AS5" i="2" s="1"/>
  <c r="AT5" i="2" s="1"/>
  <c r="BY13" i="2"/>
  <c r="AL14" i="2"/>
  <c r="BL26" i="2"/>
  <c r="BL30" i="2"/>
  <c r="BL38" i="2"/>
  <c r="BL42" i="2"/>
  <c r="BL25" i="2"/>
  <c r="BL29" i="2"/>
  <c r="AZ4" i="2"/>
  <c r="BL41" i="2"/>
  <c r="BL16" i="2"/>
  <c r="BL20" i="2"/>
  <c r="BL12" i="2"/>
  <c r="AL12" i="2"/>
  <c r="BK11" i="2"/>
  <c r="BL34" i="2"/>
  <c r="J11" i="4"/>
  <c r="J11" i="3"/>
  <c r="AL10" i="2"/>
  <c r="AL9" i="2"/>
  <c r="AL8" i="2"/>
  <c r="AL7" i="2"/>
  <c r="AL6" i="2"/>
  <c r="BK5" i="2"/>
  <c r="BL14" i="2"/>
  <c r="BL17" i="2"/>
  <c r="BD66" i="2"/>
  <c r="AN4" i="2" s="1"/>
  <c r="AN66" i="2" s="1"/>
  <c r="AO5" i="2" s="1"/>
  <c r="AP5" i="2" s="1"/>
  <c r="BL21" i="2"/>
  <c r="BL18" i="2"/>
  <c r="I24" i="4"/>
  <c r="I24" i="3"/>
  <c r="BY11" i="2"/>
  <c r="AL11" i="2"/>
  <c r="BK12" i="2"/>
  <c r="BL10" i="2"/>
  <c r="BL9" i="2"/>
  <c r="BL8" i="2"/>
  <c r="BL7" i="2"/>
  <c r="BL6" i="2"/>
  <c r="BL5" i="2"/>
  <c r="BL13" i="2"/>
  <c r="AV4" i="2"/>
  <c r="AV66" i="2" s="1"/>
  <c r="E66" i="2"/>
  <c r="Y6" i="2"/>
  <c r="I25" i="4"/>
  <c r="I25" i="3"/>
  <c r="AL13" i="2"/>
  <c r="I18" i="4"/>
  <c r="I18" i="3"/>
  <c r="I19" i="4"/>
  <c r="I19" i="3"/>
  <c r="BK6" i="2"/>
  <c r="I20" i="4"/>
  <c r="I20" i="3"/>
  <c r="BK7" i="2"/>
  <c r="I21" i="4"/>
  <c r="I21" i="3"/>
  <c r="BK8" i="2"/>
  <c r="I22" i="4"/>
  <c r="I22" i="3"/>
  <c r="BK9" i="2"/>
  <c r="I23" i="4"/>
  <c r="I23" i="3"/>
  <c r="BK10" i="2"/>
  <c r="BL11" i="2"/>
  <c r="BY12" i="2"/>
  <c r="I27" i="3"/>
  <c r="BL15" i="2"/>
  <c r="BL19" i="2"/>
  <c r="BL22" i="2"/>
  <c r="BL23" i="2"/>
  <c r="BL51" i="2"/>
  <c r="I26" i="4"/>
  <c r="I26" i="3"/>
  <c r="BK13" i="2"/>
  <c r="BL24" i="2"/>
  <c r="BL27" i="2"/>
  <c r="BL31" i="2"/>
  <c r="BL37" i="2"/>
  <c r="BL39" i="2"/>
  <c r="BL33" i="2"/>
  <c r="BL35" i="2"/>
  <c r="BL63" i="2"/>
  <c r="BL59" i="2"/>
  <c r="BL64" i="2"/>
  <c r="BL60" i="2"/>
  <c r="BL65" i="2"/>
  <c r="BL61" i="2"/>
  <c r="BL58" i="2"/>
  <c r="BL54" i="2"/>
  <c r="BL62" i="2"/>
  <c r="BL56" i="2"/>
  <c r="BL52" i="2"/>
  <c r="BL57" i="2"/>
  <c r="BL53" i="2"/>
  <c r="BL55" i="2"/>
  <c r="BL47" i="2"/>
  <c r="BL43" i="2"/>
  <c r="BL48" i="2"/>
  <c r="BL44" i="2"/>
  <c r="BL49" i="2"/>
  <c r="BL45" i="2"/>
  <c r="BL50" i="2"/>
  <c r="BL28" i="2"/>
  <c r="BL32" i="2"/>
  <c r="BL36" i="2"/>
  <c r="BL40" i="2"/>
  <c r="BL46" i="2"/>
  <c r="I27" i="4" l="1"/>
  <c r="BK14" i="2"/>
  <c r="BY14" i="2"/>
  <c r="Q5" i="3"/>
  <c r="D18" i="3" s="1"/>
  <c r="E18" i="3" s="1"/>
  <c r="J18" i="3" s="1"/>
  <c r="Y7" i="2"/>
  <c r="Q5" i="4"/>
  <c r="F6" i="2" l="1"/>
  <c r="H6" i="2" s="1"/>
  <c r="BK16" i="2"/>
  <c r="I28" i="3"/>
  <c r="P28" i="3" s="1"/>
  <c r="I28" i="4"/>
  <c r="P28" i="4" s="1"/>
  <c r="BK15" i="2"/>
  <c r="BY15" i="2"/>
  <c r="AL15" i="2"/>
  <c r="D28" i="3"/>
  <c r="E28" i="3" s="1"/>
  <c r="J28" i="3" s="1"/>
  <c r="P26" i="3"/>
  <c r="D21" i="3"/>
  <c r="E21" i="3" s="1"/>
  <c r="J21" i="3" s="1"/>
  <c r="A54" i="3"/>
  <c r="P21" i="4"/>
  <c r="P18" i="3"/>
  <c r="P21" i="3"/>
  <c r="P20" i="3"/>
  <c r="P24" i="3"/>
  <c r="P27" i="3"/>
  <c r="P27" i="4"/>
  <c r="P24" i="4"/>
  <c r="P25" i="3"/>
  <c r="P22" i="3"/>
  <c r="P25" i="4"/>
  <c r="P20" i="4"/>
  <c r="P19" i="3"/>
  <c r="D47" i="4"/>
  <c r="E47" i="4" s="1"/>
  <c r="J47" i="4" s="1"/>
  <c r="D43" i="4"/>
  <c r="E43" i="4" s="1"/>
  <c r="J43" i="4" s="1"/>
  <c r="D39" i="4"/>
  <c r="E39" i="4" s="1"/>
  <c r="J39" i="4" s="1"/>
  <c r="D49" i="4"/>
  <c r="E49" i="4" s="1"/>
  <c r="J49" i="4" s="1"/>
  <c r="D41" i="4"/>
  <c r="E41" i="4" s="1"/>
  <c r="J41" i="4" s="1"/>
  <c r="D35" i="4"/>
  <c r="E35" i="4" s="1"/>
  <c r="J35" i="4" s="1"/>
  <c r="D33" i="4"/>
  <c r="E33" i="4" s="1"/>
  <c r="J33" i="4" s="1"/>
  <c r="D27" i="4"/>
  <c r="E27" i="4" s="1"/>
  <c r="J27" i="4" s="1"/>
  <c r="D23" i="4"/>
  <c r="E23" i="4" s="1"/>
  <c r="J23" i="4" s="1"/>
  <c r="I17" i="4"/>
  <c r="P17" i="4" s="1"/>
  <c r="R17" i="4" s="1"/>
  <c r="D29" i="4"/>
  <c r="E29" i="4" s="1"/>
  <c r="J29" i="4" s="1"/>
  <c r="D21" i="4"/>
  <c r="E21" i="4" s="1"/>
  <c r="J21" i="4" s="1"/>
  <c r="D53" i="4"/>
  <c r="E53" i="4" s="1"/>
  <c r="J53" i="4" s="1"/>
  <c r="D45" i="4"/>
  <c r="E45" i="4" s="1"/>
  <c r="J45" i="4" s="1"/>
  <c r="D37" i="4"/>
  <c r="E37" i="4" s="1"/>
  <c r="J37" i="4" s="1"/>
  <c r="D25" i="4"/>
  <c r="E25" i="4" s="1"/>
  <c r="J25" i="4" s="1"/>
  <c r="D31" i="4"/>
  <c r="E31" i="4" s="1"/>
  <c r="J31" i="4" s="1"/>
  <c r="D26" i="4"/>
  <c r="E26" i="4" s="1"/>
  <c r="D22" i="4"/>
  <c r="E22" i="4" s="1"/>
  <c r="J22" i="4" s="1"/>
  <c r="D46" i="4"/>
  <c r="E46" i="4" s="1"/>
  <c r="J46" i="4" s="1"/>
  <c r="D52" i="4"/>
  <c r="E52" i="4" s="1"/>
  <c r="J52" i="4" s="1"/>
  <c r="D42" i="4"/>
  <c r="E42" i="4" s="1"/>
  <c r="J42" i="4" s="1"/>
  <c r="E18" i="4"/>
  <c r="J18" i="4" s="1"/>
  <c r="D51" i="4"/>
  <c r="E51" i="4" s="1"/>
  <c r="J51" i="4" s="1"/>
  <c r="D20" i="4"/>
  <c r="E20" i="4" s="1"/>
  <c r="J20" i="4" s="1"/>
  <c r="D30" i="4"/>
  <c r="E30" i="4" s="1"/>
  <c r="J30" i="4" s="1"/>
  <c r="D36" i="4"/>
  <c r="E36" i="4" s="1"/>
  <c r="J36" i="4" s="1"/>
  <c r="D34" i="4"/>
  <c r="E34" i="4" s="1"/>
  <c r="J34" i="4" s="1"/>
  <c r="D50" i="4"/>
  <c r="E50" i="4" s="1"/>
  <c r="J50" i="4" s="1"/>
  <c r="D32" i="4"/>
  <c r="E32" i="4" s="1"/>
  <c r="J32" i="4" s="1"/>
  <c r="D40" i="4"/>
  <c r="E40" i="4" s="1"/>
  <c r="J40" i="4" s="1"/>
  <c r="D38" i="4"/>
  <c r="E38" i="4" s="1"/>
  <c r="J38" i="4" s="1"/>
  <c r="D24" i="4"/>
  <c r="E24" i="4" s="1"/>
  <c r="J24" i="4" s="1"/>
  <c r="D28" i="4"/>
  <c r="E28" i="4" s="1"/>
  <c r="J28" i="4" s="1"/>
  <c r="D44" i="4"/>
  <c r="E44" i="4" s="1"/>
  <c r="J44" i="4" s="1"/>
  <c r="D19" i="4"/>
  <c r="E19" i="4" s="1"/>
  <c r="J19" i="4" s="1"/>
  <c r="D48" i="4"/>
  <c r="E48" i="4" s="1"/>
  <c r="J48" i="4" s="1"/>
  <c r="P19" i="4"/>
  <c r="D46" i="3"/>
  <c r="E46" i="3" s="1"/>
  <c r="J46" i="3" s="1"/>
  <c r="D42" i="3"/>
  <c r="E42" i="3" s="1"/>
  <c r="J42" i="3" s="1"/>
  <c r="D51" i="3"/>
  <c r="E51" i="3" s="1"/>
  <c r="J51" i="3" s="1"/>
  <c r="D47" i="3"/>
  <c r="E47" i="3" s="1"/>
  <c r="J47" i="3" s="1"/>
  <c r="D43" i="3"/>
  <c r="E43" i="3" s="1"/>
  <c r="J43" i="3" s="1"/>
  <c r="D41" i="3"/>
  <c r="E41" i="3" s="1"/>
  <c r="J41" i="3" s="1"/>
  <c r="D37" i="3"/>
  <c r="E37" i="3" s="1"/>
  <c r="J37" i="3" s="1"/>
  <c r="D32" i="3"/>
  <c r="E32" i="3" s="1"/>
  <c r="J32" i="3" s="1"/>
  <c r="D45" i="3"/>
  <c r="E45" i="3" s="1"/>
  <c r="J45" i="3" s="1"/>
  <c r="D39" i="3"/>
  <c r="E39" i="3" s="1"/>
  <c r="J39" i="3" s="1"/>
  <c r="D49" i="3"/>
  <c r="E49" i="3" s="1"/>
  <c r="J49" i="3" s="1"/>
  <c r="D34" i="3"/>
  <c r="E34" i="3" s="1"/>
  <c r="J34" i="3" s="1"/>
  <c r="I17" i="3"/>
  <c r="P17" i="3" s="1"/>
  <c r="R17" i="3" s="1"/>
  <c r="D30" i="3"/>
  <c r="E30" i="3" s="1"/>
  <c r="J30" i="3" s="1"/>
  <c r="D22" i="3"/>
  <c r="E22" i="3" s="1"/>
  <c r="J22" i="3" s="1"/>
  <c r="D26" i="3"/>
  <c r="E26" i="3" s="1"/>
  <c r="J26" i="3" s="1"/>
  <c r="D27" i="3"/>
  <c r="E27" i="3" s="1"/>
  <c r="J27" i="3" s="1"/>
  <c r="D53" i="3"/>
  <c r="E53" i="3" s="1"/>
  <c r="J53" i="3" s="1"/>
  <c r="D40" i="3"/>
  <c r="E40" i="3" s="1"/>
  <c r="J40" i="3" s="1"/>
  <c r="D25" i="3"/>
  <c r="E25" i="3" s="1"/>
  <c r="J25" i="3" s="1"/>
  <c r="D50" i="3"/>
  <c r="E50" i="3" s="1"/>
  <c r="J50" i="3" s="1"/>
  <c r="D19" i="3"/>
  <c r="E19" i="3" s="1"/>
  <c r="J19" i="3" s="1"/>
  <c r="D20" i="3"/>
  <c r="E20" i="3" s="1"/>
  <c r="J20" i="3" s="1"/>
  <c r="D23" i="3"/>
  <c r="E23" i="3" s="1"/>
  <c r="J23" i="3" s="1"/>
  <c r="D33" i="3"/>
  <c r="E33" i="3" s="1"/>
  <c r="J33" i="3" s="1"/>
  <c r="D29" i="3"/>
  <c r="E29" i="3" s="1"/>
  <c r="J29" i="3" s="1"/>
  <c r="D48" i="3"/>
  <c r="E48" i="3" s="1"/>
  <c r="J48" i="3" s="1"/>
  <c r="D52" i="3"/>
  <c r="E52" i="3" s="1"/>
  <c r="J52" i="3" s="1"/>
  <c r="D35" i="3"/>
  <c r="E35" i="3" s="1"/>
  <c r="J35" i="3" s="1"/>
  <c r="D36" i="3"/>
  <c r="E36" i="3" s="1"/>
  <c r="J36" i="3" s="1"/>
  <c r="D31" i="3"/>
  <c r="E31" i="3" s="1"/>
  <c r="J31" i="3" s="1"/>
  <c r="D24" i="3"/>
  <c r="E24" i="3" s="1"/>
  <c r="J24" i="3" s="1"/>
  <c r="D38" i="3"/>
  <c r="E38" i="3" s="1"/>
  <c r="J38" i="3" s="1"/>
  <c r="D44" i="3"/>
  <c r="E44" i="3" s="1"/>
  <c r="J44" i="3" s="1"/>
  <c r="Y8" i="2"/>
  <c r="P26" i="4"/>
  <c r="P22" i="4"/>
  <c r="P18" i="4"/>
  <c r="P23" i="4"/>
  <c r="P23" i="3"/>
  <c r="J26" i="4" l="1"/>
  <c r="F18" i="3"/>
  <c r="BK17" i="2"/>
  <c r="AL16" i="2"/>
  <c r="I29" i="4"/>
  <c r="P29" i="4" s="1"/>
  <c r="BY16" i="2"/>
  <c r="I29" i="3"/>
  <c r="P29" i="3" s="1"/>
  <c r="Y9" i="2"/>
  <c r="F18" i="4"/>
  <c r="L18" i="3" l="1"/>
  <c r="BK18" i="2"/>
  <c r="BY17" i="2"/>
  <c r="I30" i="4"/>
  <c r="P30" i="4" s="1"/>
  <c r="AL17" i="2"/>
  <c r="I30" i="3"/>
  <c r="P30" i="3" s="1"/>
  <c r="BD5" i="2"/>
  <c r="K18" i="3" l="1"/>
  <c r="BK19" i="2"/>
  <c r="BY18" i="2"/>
  <c r="I31" i="4"/>
  <c r="P31" i="4" s="1"/>
  <c r="I31" i="3"/>
  <c r="P31" i="3" s="1"/>
  <c r="AL18" i="2"/>
  <c r="G18" i="3"/>
  <c r="K6" i="2"/>
  <c r="M18" i="3" l="1"/>
  <c r="I6" i="2"/>
  <c r="BK20" i="2"/>
  <c r="I32" i="4"/>
  <c r="P32" i="4" s="1"/>
  <c r="I32" i="3"/>
  <c r="P32" i="3" s="1"/>
  <c r="BY19" i="2"/>
  <c r="AL19" i="2"/>
  <c r="J6" i="2"/>
  <c r="N18" i="3"/>
  <c r="F19" i="3" s="1"/>
  <c r="L19" i="3" s="1"/>
  <c r="K19" i="3" l="1"/>
  <c r="A18" i="4"/>
  <c r="L18" i="4" s="1"/>
  <c r="O6" i="2"/>
  <c r="Q6" i="2" s="1"/>
  <c r="BE5" i="2"/>
  <c r="BK21" i="2"/>
  <c r="BY20" i="2"/>
  <c r="I33" i="3"/>
  <c r="P33" i="3" s="1"/>
  <c r="I33" i="4"/>
  <c r="P33" i="4" s="1"/>
  <c r="AL20" i="2"/>
  <c r="Q18" i="3"/>
  <c r="L6" i="2"/>
  <c r="F7" i="2"/>
  <c r="H7" i="2" s="1"/>
  <c r="G13" i="2"/>
  <c r="Y13" i="2"/>
  <c r="BK22" i="2" l="1"/>
  <c r="I34" i="4"/>
  <c r="P34" i="4" s="1"/>
  <c r="I34" i="3"/>
  <c r="P34" i="3" s="1"/>
  <c r="BY21" i="2"/>
  <c r="AL21" i="2"/>
  <c r="R18" i="3"/>
  <c r="N6" i="2"/>
  <c r="T6" i="2" s="1"/>
  <c r="BD6" i="2"/>
  <c r="AN6" i="2"/>
  <c r="AO6" i="2" s="1"/>
  <c r="G14" i="2"/>
  <c r="Y14" i="2"/>
  <c r="AP6" i="2" l="1"/>
  <c r="AP66" i="2" s="1"/>
  <c r="AP67" i="2" s="1"/>
  <c r="AP68" i="2" s="1"/>
  <c r="AO66" i="2"/>
  <c r="BK23" i="2"/>
  <c r="I35" i="4"/>
  <c r="P35" i="4" s="1"/>
  <c r="I35" i="3"/>
  <c r="P35" i="3" s="1"/>
  <c r="BY22" i="2"/>
  <c r="AL22" i="2"/>
  <c r="G19" i="3"/>
  <c r="Y15" i="2"/>
  <c r="G15" i="2"/>
  <c r="R6" i="2"/>
  <c r="X6" i="2"/>
  <c r="K7" i="2"/>
  <c r="I7" i="2" l="1"/>
  <c r="BY23" i="2"/>
  <c r="AL23" i="2"/>
  <c r="I36" i="3"/>
  <c r="P36" i="3" s="1"/>
  <c r="BK24" i="2"/>
  <c r="I36" i="4"/>
  <c r="P36" i="4" s="1"/>
  <c r="N19" i="3"/>
  <c r="F20" i="3" s="1"/>
  <c r="L20" i="3" s="1"/>
  <c r="BF5" i="2"/>
  <c r="AV5" i="2"/>
  <c r="AW5" i="2" s="1"/>
  <c r="J7" i="2"/>
  <c r="Y16" i="2"/>
  <c r="G16" i="2"/>
  <c r="M19" i="3"/>
  <c r="Z6" i="2"/>
  <c r="S6" i="2"/>
  <c r="K20" i="3" l="1"/>
  <c r="A19" i="4"/>
  <c r="I37" i="4"/>
  <c r="P37" i="4" s="1"/>
  <c r="I37" i="3"/>
  <c r="P37" i="3" s="1"/>
  <c r="AL24" i="2"/>
  <c r="BY24" i="2"/>
  <c r="BK25" i="2"/>
  <c r="O7" i="2"/>
  <c r="Q7" i="2" s="1"/>
  <c r="U6" i="2"/>
  <c r="AW66" i="2"/>
  <c r="AX5" i="2"/>
  <c r="AX66" i="2" s="1"/>
  <c r="AX67" i="2" s="1"/>
  <c r="AX68" i="2" s="1"/>
  <c r="G17" i="2"/>
  <c r="Y17" i="2"/>
  <c r="Q19" i="3"/>
  <c r="L7" i="2"/>
  <c r="F8" i="2"/>
  <c r="H8" i="2" s="1"/>
  <c r="BK26" i="2" l="1"/>
  <c r="I38" i="3"/>
  <c r="P38" i="3" s="1"/>
  <c r="BY25" i="2"/>
  <c r="AL25" i="2"/>
  <c r="I38" i="4"/>
  <c r="P38" i="4" s="1"/>
  <c r="R19" i="3"/>
  <c r="G18" i="2"/>
  <c r="Y18" i="2"/>
  <c r="N7" i="2"/>
  <c r="T7" i="2" s="1"/>
  <c r="BD7" i="2"/>
  <c r="AN7" i="2"/>
  <c r="AO7" i="2" s="1"/>
  <c r="AP7" i="2" s="1"/>
  <c r="AR6" i="2"/>
  <c r="AS6" i="2" s="1"/>
  <c r="BE6" i="2"/>
  <c r="W6" i="2"/>
  <c r="AT6" i="2" l="1"/>
  <c r="AT66" i="2" s="1"/>
  <c r="AT67" i="2" s="1"/>
  <c r="AT68" i="2" s="1"/>
  <c r="AS66" i="2"/>
  <c r="BK27" i="2"/>
  <c r="BY26" i="2"/>
  <c r="I39" i="3"/>
  <c r="P39" i="3" s="1"/>
  <c r="AL26" i="2"/>
  <c r="I39" i="4"/>
  <c r="P39" i="4" s="1"/>
  <c r="G20" i="3"/>
  <c r="AB6" i="2"/>
  <c r="AA6" i="2" s="1"/>
  <c r="K8" i="2"/>
  <c r="I8" i="2" l="1"/>
  <c r="S7" i="2"/>
  <c r="R7" i="2"/>
  <c r="BK28" i="2"/>
  <c r="BY27" i="2"/>
  <c r="I40" i="4"/>
  <c r="P40" i="4" s="1"/>
  <c r="I40" i="3"/>
  <c r="P40" i="3" s="1"/>
  <c r="AL27" i="2"/>
  <c r="M20" i="3"/>
  <c r="J8" i="2"/>
  <c r="N20" i="3"/>
  <c r="F21" i="3" s="1"/>
  <c r="L21" i="3" s="1"/>
  <c r="X7" i="2"/>
  <c r="AC6" i="2"/>
  <c r="K21" i="3" l="1"/>
  <c r="A20" i="4"/>
  <c r="U7" i="2"/>
  <c r="AR7" i="2" s="1"/>
  <c r="AS7" i="2" s="1"/>
  <c r="AT7" i="2" s="1"/>
  <c r="O8" i="2"/>
  <c r="Q8" i="2" s="1"/>
  <c r="BK29" i="2"/>
  <c r="I41" i="4"/>
  <c r="P41" i="4" s="1"/>
  <c r="I41" i="3"/>
  <c r="P41" i="3" s="1"/>
  <c r="AL28" i="2"/>
  <c r="BY28" i="2"/>
  <c r="Q20" i="3"/>
  <c r="L8" i="2"/>
  <c r="F9" i="2"/>
  <c r="H9" i="2" s="1"/>
  <c r="BF6" i="2"/>
  <c r="AV6" i="2"/>
  <c r="AW6" i="2" s="1"/>
  <c r="AX6" i="2" s="1"/>
  <c r="AE6" i="2"/>
  <c r="Z7" i="2"/>
  <c r="BE7" i="2" l="1"/>
  <c r="W7" i="2"/>
  <c r="AB7" i="2" s="1"/>
  <c r="Y19" i="2"/>
  <c r="G19" i="2"/>
  <c r="BY29" i="2"/>
  <c r="BK30" i="2"/>
  <c r="AL29" i="2"/>
  <c r="I42" i="4"/>
  <c r="P42" i="4" s="1"/>
  <c r="I42" i="3"/>
  <c r="P42" i="3" s="1"/>
  <c r="R20" i="3"/>
  <c r="N8" i="2"/>
  <c r="T8" i="2" s="1"/>
  <c r="BD8" i="2"/>
  <c r="AN8" i="2"/>
  <c r="AO8" i="2" s="1"/>
  <c r="AP8" i="2" s="1"/>
  <c r="BK31" i="2" l="1"/>
  <c r="BY30" i="2"/>
  <c r="AL30" i="2"/>
  <c r="I43" i="4"/>
  <c r="P43" i="4" s="1"/>
  <c r="I43" i="3"/>
  <c r="P43" i="3" s="1"/>
  <c r="G21" i="3"/>
  <c r="K9" i="2"/>
  <c r="AA7" i="2"/>
  <c r="I9" i="2" l="1"/>
  <c r="BK32" i="2"/>
  <c r="BY31" i="2"/>
  <c r="AL31" i="2"/>
  <c r="I44" i="4"/>
  <c r="P44" i="4" s="1"/>
  <c r="I44" i="3"/>
  <c r="P44" i="3" s="1"/>
  <c r="M21" i="3"/>
  <c r="X8" i="2"/>
  <c r="AC7" i="2"/>
  <c r="N21" i="3"/>
  <c r="F22" i="3" s="1"/>
  <c r="L22" i="3" s="1"/>
  <c r="J9" i="2"/>
  <c r="K22" i="3" l="1"/>
  <c r="A21" i="4"/>
  <c r="S8" i="2"/>
  <c r="O9" i="2" s="1"/>
  <c r="Q9" i="2" s="1"/>
  <c r="R8" i="2"/>
  <c r="BK33" i="2"/>
  <c r="BY32" i="2"/>
  <c r="I45" i="3"/>
  <c r="P45" i="3" s="1"/>
  <c r="AL32" i="2"/>
  <c r="I45" i="4"/>
  <c r="P45" i="4" s="1"/>
  <c r="Q21" i="3"/>
  <c r="Z8" i="2"/>
  <c r="L9" i="2"/>
  <c r="N9" i="2" s="1"/>
  <c r="F10" i="2"/>
  <c r="BF7" i="2"/>
  <c r="AV7" i="2"/>
  <c r="AW7" i="2" s="1"/>
  <c r="AX7" i="2" s="1"/>
  <c r="AE7" i="2"/>
  <c r="Y20" i="2" l="1"/>
  <c r="G20" i="2"/>
  <c r="U8" i="2"/>
  <c r="T9" i="2"/>
  <c r="Q2" i="2"/>
  <c r="BK34" i="2"/>
  <c r="BY33" i="2"/>
  <c r="I46" i="4"/>
  <c r="P46" i="4" s="1"/>
  <c r="I46" i="3"/>
  <c r="P46" i="3" s="1"/>
  <c r="AL33" i="2"/>
  <c r="R21" i="3"/>
  <c r="BD9" i="2"/>
  <c r="AN9" i="2"/>
  <c r="AO9" i="2" s="1"/>
  <c r="AP9" i="2" s="1"/>
  <c r="S9" i="2" l="1"/>
  <c r="BE8" i="2"/>
  <c r="W8" i="2"/>
  <c r="AB8" i="2" s="1"/>
  <c r="AA8" i="2" s="1"/>
  <c r="AR8" i="2"/>
  <c r="AS8" i="2" s="1"/>
  <c r="AT8" i="2" s="1"/>
  <c r="R9" i="2"/>
  <c r="BK35" i="2"/>
  <c r="BY34" i="2"/>
  <c r="I47" i="4"/>
  <c r="P47" i="4" s="1"/>
  <c r="I47" i="3"/>
  <c r="P47" i="3" s="1"/>
  <c r="AL34" i="2"/>
  <c r="G22" i="3"/>
  <c r="BK36" i="2" l="1"/>
  <c r="BY35" i="2"/>
  <c r="AL35" i="2"/>
  <c r="I48" i="4"/>
  <c r="P48" i="4" s="1"/>
  <c r="I48" i="3"/>
  <c r="P48" i="3" s="1"/>
  <c r="M22" i="3"/>
  <c r="N22" i="3"/>
  <c r="F23" i="3" s="1"/>
  <c r="L23" i="3" s="1"/>
  <c r="O10" i="2"/>
  <c r="U9" i="2"/>
  <c r="X9" i="2"/>
  <c r="AC8" i="2"/>
  <c r="K23" i="3" l="1"/>
  <c r="A22" i="4"/>
  <c r="BY36" i="2"/>
  <c r="BK37" i="2"/>
  <c r="I49" i="4"/>
  <c r="P49" i="4" s="1"/>
  <c r="I49" i="3"/>
  <c r="P49" i="3" s="1"/>
  <c r="AL36" i="2"/>
  <c r="Q22" i="3"/>
  <c r="R22" i="3" s="1"/>
  <c r="AR9" i="2"/>
  <c r="AS9" i="2" s="1"/>
  <c r="AT9" i="2" s="1"/>
  <c r="BE9" i="2"/>
  <c r="W9" i="2"/>
  <c r="BF8" i="2"/>
  <c r="AV8" i="2"/>
  <c r="AW8" i="2" s="1"/>
  <c r="AX8" i="2" s="1"/>
  <c r="AE8" i="2"/>
  <c r="Z9" i="2"/>
  <c r="Y21" i="2" l="1"/>
  <c r="G21" i="2"/>
  <c r="BK38" i="2"/>
  <c r="AL37" i="2"/>
  <c r="I50" i="4"/>
  <c r="P50" i="4" s="1"/>
  <c r="I50" i="3"/>
  <c r="P50" i="3" s="1"/>
  <c r="BY37" i="2"/>
  <c r="AB9" i="2"/>
  <c r="BK39" i="2" l="1"/>
  <c r="BY38" i="2"/>
  <c r="AL38" i="2"/>
  <c r="I51" i="4"/>
  <c r="P51" i="4" s="1"/>
  <c r="I51" i="3"/>
  <c r="P51" i="3" s="1"/>
  <c r="AA9" i="2"/>
  <c r="BY39" i="2" l="1"/>
  <c r="I52" i="3"/>
  <c r="P52" i="3" s="1"/>
  <c r="AL39" i="2"/>
  <c r="BK40" i="2"/>
  <c r="I52" i="4"/>
  <c r="P52" i="4" s="1"/>
  <c r="X10" i="2"/>
  <c r="AC9" i="2"/>
  <c r="BY40" i="2" l="1"/>
  <c r="AL40" i="2"/>
  <c r="I53" i="4"/>
  <c r="P53" i="4" s="1"/>
  <c r="BK41" i="2"/>
  <c r="I53" i="3"/>
  <c r="P53" i="3" s="1"/>
  <c r="BF9" i="2"/>
  <c r="AV9" i="2"/>
  <c r="AW9" i="2" s="1"/>
  <c r="AX9" i="2" s="1"/>
  <c r="AE9" i="2"/>
  <c r="BK42" i="2" l="1"/>
  <c r="BY41" i="2"/>
  <c r="AL41" i="2"/>
  <c r="BK43" i="2" l="1"/>
  <c r="AL42" i="2"/>
  <c r="BY42" i="2"/>
  <c r="BK44" i="2" l="1"/>
  <c r="BY43" i="2"/>
  <c r="AL43" i="2"/>
  <c r="BK45" i="2" l="1"/>
  <c r="BY44" i="2"/>
  <c r="AL44" i="2"/>
  <c r="BK46" i="2" l="1"/>
  <c r="BY45" i="2"/>
  <c r="AL45" i="2"/>
  <c r="BK47" i="2" l="1"/>
  <c r="AL46" i="2"/>
  <c r="BY46" i="2"/>
  <c r="BK48" i="2" l="1"/>
  <c r="BY47" i="2"/>
  <c r="AL47" i="2"/>
  <c r="BY48" i="2" l="1"/>
  <c r="BK49" i="2"/>
  <c r="AL48" i="2"/>
  <c r="BK50" i="2" l="1"/>
  <c r="BY49" i="2"/>
  <c r="AL49" i="2"/>
  <c r="BY50" i="2" l="1"/>
  <c r="BK51" i="2"/>
  <c r="AL50" i="2"/>
  <c r="BY51" i="2" l="1"/>
  <c r="AL51" i="2"/>
  <c r="BK52" i="2"/>
  <c r="AL52" i="2" l="1"/>
  <c r="BK53" i="2"/>
  <c r="BY52" i="2"/>
  <c r="BY53" i="2" l="1"/>
  <c r="BK54" i="2"/>
  <c r="AL53" i="2"/>
  <c r="BK55" i="2" l="1"/>
  <c r="BY54" i="2"/>
  <c r="AL54" i="2"/>
  <c r="BK56" i="2" l="1"/>
  <c r="BY55" i="2"/>
  <c r="AL55" i="2"/>
  <c r="AL56" i="2" l="1"/>
  <c r="BK57" i="2"/>
  <c r="BY56" i="2"/>
  <c r="BY57" i="2" l="1"/>
  <c r="BK58" i="2"/>
  <c r="AL57" i="2"/>
  <c r="BY58" i="2" l="1"/>
  <c r="AL58" i="2"/>
  <c r="BK59" i="2"/>
  <c r="BY59" i="2" l="1"/>
  <c r="BK60" i="2"/>
  <c r="AL59" i="2"/>
  <c r="BY60" i="2" l="1"/>
  <c r="AL60" i="2"/>
  <c r="BK61" i="2"/>
  <c r="BY61" i="2" l="1"/>
  <c r="BK62" i="2"/>
  <c r="AL61" i="2"/>
  <c r="BY62" i="2" l="1"/>
  <c r="AL62" i="2"/>
  <c r="BK63" i="2"/>
  <c r="Y55" i="2"/>
  <c r="G55" i="2"/>
  <c r="BY63" i="2" l="1"/>
  <c r="AL63" i="2"/>
  <c r="BK64" i="2"/>
  <c r="G56" i="2"/>
  <c r="Y56" i="2"/>
  <c r="BK65" i="2" l="1"/>
  <c r="BY64" i="2"/>
  <c r="AL64" i="2"/>
  <c r="G57" i="2"/>
  <c r="Y57" i="2"/>
  <c r="BY65" i="2" l="1"/>
  <c r="AL65" i="2"/>
  <c r="Y58" i="2"/>
  <c r="G58" i="2"/>
  <c r="G59" i="2" l="1"/>
  <c r="Y59" i="2"/>
  <c r="Y60" i="2" l="1"/>
  <c r="G60" i="2"/>
  <c r="Y61" i="2" l="1"/>
  <c r="G61" i="2"/>
  <c r="G62" i="2" l="1"/>
  <c r="Y62" i="2"/>
  <c r="G63" i="2" l="1"/>
  <c r="Y63" i="2"/>
  <c r="Y64" i="2" l="1"/>
  <c r="G64" i="2"/>
  <c r="Y65" i="2" l="1"/>
  <c r="G65" i="2"/>
  <c r="G51" i="2" l="1"/>
  <c r="Y51" i="2"/>
  <c r="Y47" i="2"/>
  <c r="G47" i="2"/>
  <c r="Y39" i="2"/>
  <c r="G39" i="2"/>
  <c r="Y35" i="2"/>
  <c r="G35" i="2"/>
  <c r="Y27" i="2"/>
  <c r="G27" i="2"/>
  <c r="Y23" i="2"/>
  <c r="G23" i="2"/>
  <c r="G50" i="2"/>
  <c r="Y50" i="2"/>
  <c r="Y30" i="2"/>
  <c r="G30" i="2"/>
  <c r="G26" i="2"/>
  <c r="Y26" i="2"/>
  <c r="G22" i="2"/>
  <c r="Y22" i="2"/>
  <c r="G53" i="2"/>
  <c r="Y53" i="2"/>
  <c r="G45" i="2"/>
  <c r="Y45" i="2"/>
  <c r="G41" i="2"/>
  <c r="Y41" i="2"/>
  <c r="Y37" i="2"/>
  <c r="G37" i="2"/>
  <c r="Y33" i="2"/>
  <c r="G33" i="2"/>
  <c r="G29" i="2"/>
  <c r="Y29" i="2"/>
  <c r="Y52" i="2"/>
  <c r="G52" i="2"/>
  <c r="Y48" i="2"/>
  <c r="G48" i="2"/>
  <c r="G44" i="2"/>
  <c r="Y44" i="2"/>
  <c r="G36" i="2"/>
  <c r="Y36" i="2"/>
  <c r="G28" i="2"/>
  <c r="Y28" i="2"/>
  <c r="Y24" i="2"/>
  <c r="G24" i="2"/>
  <c r="Y12" i="2"/>
  <c r="G12" i="2"/>
  <c r="G43" i="2"/>
  <c r="Y43" i="2"/>
  <c r="G42" i="2"/>
  <c r="Y42" i="2"/>
  <c r="G34" i="2"/>
  <c r="Y34" i="2"/>
  <c r="Y11" i="2"/>
  <c r="G11" i="2"/>
  <c r="G31" i="2"/>
  <c r="Y31" i="2"/>
  <c r="G46" i="2"/>
  <c r="Y46" i="2"/>
  <c r="Y38" i="2"/>
  <c r="G38" i="2"/>
  <c r="Y49" i="2"/>
  <c r="G49" i="2"/>
  <c r="G25" i="2"/>
  <c r="Y25" i="2"/>
  <c r="G40" i="2"/>
  <c r="Y40" i="2"/>
  <c r="Y54" i="2"/>
  <c r="G54" i="2"/>
  <c r="Y32" i="2"/>
  <c r="G32" i="2"/>
  <c r="Y10" i="2"/>
  <c r="Z10" i="2" s="1"/>
  <c r="G10" i="2"/>
  <c r="H10" i="2" s="1"/>
  <c r="Q10" i="2"/>
  <c r="K10" i="2" l="1"/>
  <c r="I10" i="2" s="1"/>
  <c r="J10" i="2" l="1"/>
  <c r="F11" i="2" l="1"/>
  <c r="H11" i="2" s="1"/>
  <c r="L10" i="2"/>
  <c r="G23" i="3"/>
  <c r="BD10" i="2" l="1"/>
  <c r="AN10" i="2"/>
  <c r="AO10" i="2" s="1"/>
  <c r="AP10" i="2" s="1"/>
  <c r="N10" i="2"/>
  <c r="N23" i="3"/>
  <c r="M23" i="3"/>
  <c r="K11" i="2"/>
  <c r="I11" i="2" s="1"/>
  <c r="T10" i="2" l="1"/>
  <c r="J11" i="2"/>
  <c r="A23" i="4"/>
  <c r="Q23" i="3"/>
  <c r="F24" i="3"/>
  <c r="L24" i="3" s="1"/>
  <c r="G24" i="3" l="1"/>
  <c r="F12" i="2"/>
  <c r="H12" i="2" s="1"/>
  <c r="L11" i="2"/>
  <c r="R10" i="2"/>
  <c r="S10" i="2"/>
  <c r="R23" i="3"/>
  <c r="K24" i="3" l="1"/>
  <c r="K12" i="2"/>
  <c r="O11" i="2"/>
  <c r="Q11" i="2" s="1"/>
  <c r="U10" i="2"/>
  <c r="BD11" i="2"/>
  <c r="AN11" i="2"/>
  <c r="AO11" i="2" s="1"/>
  <c r="AP11" i="2" s="1"/>
  <c r="N11" i="2"/>
  <c r="M24" i="3" l="1"/>
  <c r="Q24" i="3" s="1"/>
  <c r="R24" i="3" s="1"/>
  <c r="N24" i="3"/>
  <c r="F25" i="3" s="1"/>
  <c r="L25" i="3" s="1"/>
  <c r="T11" i="2"/>
  <c r="J12" i="2"/>
  <c r="BE10" i="2"/>
  <c r="AR10" i="2"/>
  <c r="AS10" i="2" s="1"/>
  <c r="AT10" i="2" s="1"/>
  <c r="W10" i="2"/>
  <c r="I12" i="2"/>
  <c r="A24" i="4" l="1"/>
  <c r="K25" i="3"/>
  <c r="F13" i="2"/>
  <c r="H13" i="2" s="1"/>
  <c r="L12" i="2"/>
  <c r="AB10" i="2"/>
  <c r="R11" i="2"/>
  <c r="S11" i="2"/>
  <c r="M25" i="3" l="1"/>
  <c r="Q25" i="3" s="1"/>
  <c r="G25" i="3"/>
  <c r="BD12" i="2"/>
  <c r="AN12" i="2"/>
  <c r="AO12" i="2" s="1"/>
  <c r="AP12" i="2" s="1"/>
  <c r="N12" i="2"/>
  <c r="O12" i="2"/>
  <c r="Q12" i="2" s="1"/>
  <c r="U11" i="2"/>
  <c r="K13" i="2"/>
  <c r="I13" i="2" s="1"/>
  <c r="AA10" i="2"/>
  <c r="N25" i="3"/>
  <c r="A25" i="4" l="1"/>
  <c r="F26" i="3"/>
  <c r="L26" i="3" s="1"/>
  <c r="X11" i="2"/>
  <c r="Z11" i="2" s="1"/>
  <c r="AC10" i="2"/>
  <c r="R25" i="3"/>
  <c r="AR11" i="2"/>
  <c r="AS11" i="2" s="1"/>
  <c r="AT11" i="2" s="1"/>
  <c r="BE11" i="2"/>
  <c r="W11" i="2"/>
  <c r="T12" i="2"/>
  <c r="J13" i="2"/>
  <c r="K26" i="3" l="1"/>
  <c r="S12" i="2"/>
  <c r="BF10" i="2"/>
  <c r="AV10" i="2"/>
  <c r="AW10" i="2" s="1"/>
  <c r="AX10" i="2" s="1"/>
  <c r="AE10" i="2"/>
  <c r="G26" i="3"/>
  <c r="F14" i="2"/>
  <c r="H14" i="2" s="1"/>
  <c r="L13" i="2"/>
  <c r="AB11" i="2"/>
  <c r="R12" i="2"/>
  <c r="BD13" i="2" l="1"/>
  <c r="AN13" i="2"/>
  <c r="AO13" i="2" s="1"/>
  <c r="AP13" i="2" s="1"/>
  <c r="N13" i="2"/>
  <c r="K14" i="2"/>
  <c r="I14" i="2" s="1"/>
  <c r="N26" i="3"/>
  <c r="O13" i="2"/>
  <c r="Q13" i="2" s="1"/>
  <c r="U12" i="2"/>
  <c r="AA11" i="2"/>
  <c r="M26" i="3"/>
  <c r="AC11" i="2" l="1"/>
  <c r="X12" i="2"/>
  <c r="Z12" i="2" s="1"/>
  <c r="F27" i="3"/>
  <c r="L27" i="3" s="1"/>
  <c r="T13" i="2"/>
  <c r="Q26" i="3"/>
  <c r="A26" i="4"/>
  <c r="J14" i="2"/>
  <c r="AR12" i="2"/>
  <c r="AS12" i="2" s="1"/>
  <c r="AT12" i="2" s="1"/>
  <c r="BE12" i="2"/>
  <c r="W12" i="2"/>
  <c r="K27" i="3" l="1"/>
  <c r="F15" i="2"/>
  <c r="H15" i="2" s="1"/>
  <c r="L14" i="2"/>
  <c r="AV11" i="2"/>
  <c r="AW11" i="2" s="1"/>
  <c r="AX11" i="2" s="1"/>
  <c r="BF11" i="2"/>
  <c r="AE11" i="2"/>
  <c r="R26" i="3"/>
  <c r="S13" i="2"/>
  <c r="AB12" i="2"/>
  <c r="AA12" i="2" s="1"/>
  <c r="R13" i="2"/>
  <c r="M27" i="3" l="1"/>
  <c r="A27" i="4" s="1"/>
  <c r="G27" i="3"/>
  <c r="BD14" i="2"/>
  <c r="AN14" i="2"/>
  <c r="AO14" i="2" s="1"/>
  <c r="AP14" i="2" s="1"/>
  <c r="N14" i="2"/>
  <c r="AC12" i="2"/>
  <c r="X13" i="2"/>
  <c r="Z13" i="2" s="1"/>
  <c r="O14" i="2"/>
  <c r="Q14" i="2" s="1"/>
  <c r="U13" i="2"/>
  <c r="K15" i="2"/>
  <c r="I15" i="2" s="1"/>
  <c r="N27" i="3"/>
  <c r="Q27" i="3" l="1"/>
  <c r="R27" i="3" s="1"/>
  <c r="J15" i="2"/>
  <c r="F28" i="3"/>
  <c r="L28" i="3" s="1"/>
  <c r="BF12" i="2"/>
  <c r="AV12" i="2"/>
  <c r="AW12" i="2" s="1"/>
  <c r="AX12" i="2" s="1"/>
  <c r="AE12" i="2"/>
  <c r="T14" i="2"/>
  <c r="S14" i="2" s="1"/>
  <c r="BE13" i="2"/>
  <c r="AR13" i="2"/>
  <c r="AS13" i="2" s="1"/>
  <c r="AT13" i="2" s="1"/>
  <c r="W13" i="2"/>
  <c r="AB13" i="2" s="1"/>
  <c r="K28" i="3" l="1"/>
  <c r="F16" i="2"/>
  <c r="H16" i="2" s="1"/>
  <c r="L15" i="2"/>
  <c r="AA13" i="2"/>
  <c r="O15" i="2"/>
  <c r="Q15" i="2" s="1"/>
  <c r="U14" i="2"/>
  <c r="R14" i="2"/>
  <c r="N28" i="3" l="1"/>
  <c r="F29" i="3" s="1"/>
  <c r="G28" i="3"/>
  <c r="M28" i="3"/>
  <c r="Q28" i="3" s="1"/>
  <c r="R28" i="3" s="1"/>
  <c r="BE14" i="2"/>
  <c r="AR14" i="2"/>
  <c r="AS14" i="2" s="1"/>
  <c r="AT14" i="2" s="1"/>
  <c r="W14" i="2"/>
  <c r="BD15" i="2"/>
  <c r="AN15" i="2"/>
  <c r="AO15" i="2" s="1"/>
  <c r="AP15" i="2" s="1"/>
  <c r="N15" i="2"/>
  <c r="AC13" i="2"/>
  <c r="X14" i="2"/>
  <c r="Z14" i="2" s="1"/>
  <c r="K16" i="2"/>
  <c r="L29" i="3" l="1"/>
  <c r="A28" i="4"/>
  <c r="AB14" i="2"/>
  <c r="J16" i="2"/>
  <c r="F17" i="2" s="1"/>
  <c r="BF13" i="2"/>
  <c r="AV13" i="2"/>
  <c r="AW13" i="2" s="1"/>
  <c r="AX13" i="2" s="1"/>
  <c r="AE13" i="2"/>
  <c r="I16" i="2"/>
  <c r="T15" i="2"/>
  <c r="K29" i="3" l="1"/>
  <c r="R15" i="2"/>
  <c r="H17" i="2"/>
  <c r="K17" i="2" s="1"/>
  <c r="L16" i="2"/>
  <c r="S15" i="2"/>
  <c r="G29" i="3"/>
  <c r="AA14" i="2"/>
  <c r="N29" i="3" l="1"/>
  <c r="F30" i="3" s="1"/>
  <c r="L30" i="3" s="1"/>
  <c r="M29" i="3"/>
  <c r="Q29" i="3" s="1"/>
  <c r="R29" i="3" s="1"/>
  <c r="I17" i="2"/>
  <c r="U15" i="2"/>
  <c r="O16" i="2"/>
  <c r="Q16" i="2" s="1"/>
  <c r="AC14" i="2"/>
  <c r="X15" i="2"/>
  <c r="Z15" i="2" s="1"/>
  <c r="BD16" i="2"/>
  <c r="AN16" i="2"/>
  <c r="AO16" i="2" s="1"/>
  <c r="AP16" i="2" s="1"/>
  <c r="N16" i="2"/>
  <c r="J17" i="2"/>
  <c r="K30" i="3" l="1"/>
  <c r="A29" i="4"/>
  <c r="BF14" i="2"/>
  <c r="AV14" i="2"/>
  <c r="AW14" i="2" s="1"/>
  <c r="AX14" i="2" s="1"/>
  <c r="AE14" i="2"/>
  <c r="T16" i="2"/>
  <c r="S16" i="2" s="1"/>
  <c r="BE15" i="2"/>
  <c r="AR15" i="2"/>
  <c r="AS15" i="2" s="1"/>
  <c r="AT15" i="2" s="1"/>
  <c r="W15" i="2"/>
  <c r="AB15" i="2" s="1"/>
  <c r="F18" i="2"/>
  <c r="H18" i="2" s="1"/>
  <c r="L17" i="2"/>
  <c r="N17" i="2" s="1"/>
  <c r="N30" i="3" l="1"/>
  <c r="F31" i="3" s="1"/>
  <c r="M30" i="3"/>
  <c r="Q30" i="3" s="1"/>
  <c r="G30" i="3"/>
  <c r="U16" i="2"/>
  <c r="O17" i="2"/>
  <c r="Q17" i="2" s="1"/>
  <c r="AA15" i="2"/>
  <c r="R16" i="2"/>
  <c r="BD17" i="2"/>
  <c r="AN17" i="2"/>
  <c r="AO17" i="2" s="1"/>
  <c r="AP17" i="2" s="1"/>
  <c r="K18" i="2"/>
  <c r="I18" i="2" s="1"/>
  <c r="L31" i="3" l="1"/>
  <c r="BE16" i="2"/>
  <c r="AR16" i="2"/>
  <c r="AS16" i="2" s="1"/>
  <c r="AT16" i="2" s="1"/>
  <c r="W16" i="2"/>
  <c r="J18" i="2"/>
  <c r="X16" i="2"/>
  <c r="Z16" i="2" s="1"/>
  <c r="AC15" i="2"/>
  <c r="T17" i="2"/>
  <c r="A30" i="4"/>
  <c r="R30" i="3"/>
  <c r="K31" i="3" l="1"/>
  <c r="M31" i="3" s="1"/>
  <c r="G31" i="3"/>
  <c r="AB16" i="2"/>
  <c r="AA16" i="2" s="1"/>
  <c r="F19" i="2"/>
  <c r="H19" i="2" s="1"/>
  <c r="L18" i="2"/>
  <c r="BF15" i="2"/>
  <c r="AV15" i="2"/>
  <c r="AW15" i="2" s="1"/>
  <c r="AX15" i="2" s="1"/>
  <c r="AE15" i="2"/>
  <c r="R17" i="2"/>
  <c r="S17" i="2"/>
  <c r="N31" i="3" l="1"/>
  <c r="F32" i="3" s="1"/>
  <c r="L32" i="3" s="1"/>
  <c r="Q31" i="3"/>
  <c r="R31" i="3" s="1"/>
  <c r="K19" i="2"/>
  <c r="I19" i="2" s="1"/>
  <c r="BD18" i="2"/>
  <c r="AN18" i="2"/>
  <c r="AO18" i="2" s="1"/>
  <c r="AP18" i="2" s="1"/>
  <c r="N18" i="2"/>
  <c r="X17" i="2"/>
  <c r="Z17" i="2" s="1"/>
  <c r="AC16" i="2"/>
  <c r="O18" i="2"/>
  <c r="Q18" i="2" s="1"/>
  <c r="U17" i="2"/>
  <c r="K32" i="3" l="1"/>
  <c r="N32" i="3" s="1"/>
  <c r="A31" i="4"/>
  <c r="BE17" i="2"/>
  <c r="AR17" i="2"/>
  <c r="AS17" i="2" s="1"/>
  <c r="AT17" i="2" s="1"/>
  <c r="W17" i="2"/>
  <c r="AB17" i="2" s="1"/>
  <c r="BF16" i="2"/>
  <c r="AV16" i="2"/>
  <c r="AW16" i="2" s="1"/>
  <c r="AX16" i="2" s="1"/>
  <c r="AE16" i="2"/>
  <c r="T18" i="2"/>
  <c r="S18" i="2" s="1"/>
  <c r="J19" i="2"/>
  <c r="M32" i="3" l="1"/>
  <c r="G32" i="3"/>
  <c r="F20" i="2"/>
  <c r="H20" i="2" s="1"/>
  <c r="L19" i="2"/>
  <c r="O19" i="2"/>
  <c r="Q19" i="2" s="1"/>
  <c r="U18" i="2"/>
  <c r="AA17" i="2"/>
  <c r="R18" i="2"/>
  <c r="F33" i="3" l="1"/>
  <c r="L33" i="3" s="1"/>
  <c r="AN19" i="2"/>
  <c r="AO19" i="2" s="1"/>
  <c r="AP19" i="2" s="1"/>
  <c r="N19" i="2"/>
  <c r="BD19" i="2"/>
  <c r="AR18" i="2"/>
  <c r="AS18" i="2" s="1"/>
  <c r="AT18" i="2" s="1"/>
  <c r="BE18" i="2"/>
  <c r="W18" i="2"/>
  <c r="X18" i="2"/>
  <c r="Z18" i="2" s="1"/>
  <c r="AC17" i="2"/>
  <c r="K20" i="2"/>
  <c r="I20" i="2" s="1"/>
  <c r="K33" i="3" l="1"/>
  <c r="N33" i="3" s="1"/>
  <c r="AB18" i="2"/>
  <c r="AA18" i="2" s="1"/>
  <c r="BF17" i="2"/>
  <c r="AV17" i="2"/>
  <c r="AW17" i="2" s="1"/>
  <c r="AX17" i="2" s="1"/>
  <c r="AE17" i="2"/>
  <c r="A32" i="4"/>
  <c r="Q32" i="3"/>
  <c r="R32" i="3" s="1"/>
  <c r="J20" i="2"/>
  <c r="T19" i="2"/>
  <c r="S19" i="2" s="1"/>
  <c r="M33" i="3" l="1"/>
  <c r="G33" i="3"/>
  <c r="O20" i="2"/>
  <c r="Q20" i="2" s="1"/>
  <c r="U19" i="2"/>
  <c r="F21" i="2"/>
  <c r="H21" i="2" s="1"/>
  <c r="L20" i="2"/>
  <c r="R19" i="2"/>
  <c r="X19" i="2"/>
  <c r="Z19" i="2" s="1"/>
  <c r="AC18" i="2"/>
  <c r="K21" i="2" l="1"/>
  <c r="I21" i="2" s="1"/>
  <c r="BF18" i="2"/>
  <c r="AV18" i="2"/>
  <c r="AW18" i="2" s="1"/>
  <c r="AX18" i="2" s="1"/>
  <c r="AE18" i="2"/>
  <c r="F34" i="3"/>
  <c r="L34" i="3" s="1"/>
  <c r="BE19" i="2"/>
  <c r="AR19" i="2"/>
  <c r="AS19" i="2" s="1"/>
  <c r="AT19" i="2" s="1"/>
  <c r="W19" i="2"/>
  <c r="BD20" i="2"/>
  <c r="AN20" i="2"/>
  <c r="AO20" i="2" s="1"/>
  <c r="AP20" i="2" s="1"/>
  <c r="N20" i="2"/>
  <c r="K34" i="3" l="1"/>
  <c r="N34" i="3" s="1"/>
  <c r="T20" i="2"/>
  <c r="S20" i="2" s="1"/>
  <c r="A33" i="4"/>
  <c r="Q33" i="3"/>
  <c r="R33" i="3" s="1"/>
  <c r="AB19" i="2"/>
  <c r="J21" i="2"/>
  <c r="M34" i="3" l="1"/>
  <c r="G34" i="3"/>
  <c r="F22" i="2"/>
  <c r="H22" i="2" s="1"/>
  <c r="L21" i="2"/>
  <c r="O21" i="2"/>
  <c r="Q21" i="2" s="1"/>
  <c r="U20" i="2"/>
  <c r="AA19" i="2"/>
  <c r="R20" i="2"/>
  <c r="BE20" i="2" l="1"/>
  <c r="AR20" i="2"/>
  <c r="AS20" i="2" s="1"/>
  <c r="AT20" i="2" s="1"/>
  <c r="W20" i="2"/>
  <c r="K22" i="2"/>
  <c r="F35" i="3"/>
  <c r="L35" i="3" s="1"/>
  <c r="AC19" i="2"/>
  <c r="X20" i="2"/>
  <c r="Z20" i="2" s="1"/>
  <c r="AN21" i="2"/>
  <c r="AO21" i="2" s="1"/>
  <c r="AP21" i="2" s="1"/>
  <c r="BD21" i="2"/>
  <c r="N21" i="2"/>
  <c r="K35" i="3" l="1"/>
  <c r="N35" i="3" s="1"/>
  <c r="AB20" i="2"/>
  <c r="AA20" i="2" s="1"/>
  <c r="J22" i="2"/>
  <c r="Q34" i="3"/>
  <c r="R34" i="3" s="1"/>
  <c r="A34" i="4"/>
  <c r="T21" i="2"/>
  <c r="S21" i="2" s="1"/>
  <c r="BF19" i="2"/>
  <c r="AV19" i="2"/>
  <c r="AW19" i="2" s="1"/>
  <c r="AX19" i="2" s="1"/>
  <c r="AE19" i="2"/>
  <c r="I22" i="2"/>
  <c r="M35" i="3" l="1"/>
  <c r="R21" i="2"/>
  <c r="X21" i="2"/>
  <c r="Z21" i="2" s="1"/>
  <c r="AC20" i="2"/>
  <c r="O22" i="2"/>
  <c r="Q22" i="2" s="1"/>
  <c r="U21" i="2"/>
  <c r="F23" i="2"/>
  <c r="H23" i="2" s="1"/>
  <c r="K23" i="2" s="1"/>
  <c r="L22" i="2"/>
  <c r="G35" i="3"/>
  <c r="A35" i="4" l="1"/>
  <c r="I23" i="2"/>
  <c r="F36" i="3"/>
  <c r="L36" i="3" s="1"/>
  <c r="BE21" i="2"/>
  <c r="AR21" i="2"/>
  <c r="AS21" i="2" s="1"/>
  <c r="AT21" i="2" s="1"/>
  <c r="W21" i="2"/>
  <c r="J23" i="2"/>
  <c r="BD22" i="2"/>
  <c r="AN22" i="2"/>
  <c r="AO22" i="2" s="1"/>
  <c r="AP22" i="2" s="1"/>
  <c r="N22" i="2"/>
  <c r="BF20" i="2"/>
  <c r="AV20" i="2"/>
  <c r="AW20" i="2" s="1"/>
  <c r="AX20" i="2" s="1"/>
  <c r="AE20" i="2"/>
  <c r="K36" i="3" l="1"/>
  <c r="N36" i="3" s="1"/>
  <c r="Q35" i="3"/>
  <c r="R35" i="3" s="1"/>
  <c r="G36" i="3"/>
  <c r="T22" i="2"/>
  <c r="S22" i="2" s="1"/>
  <c r="AB21" i="2"/>
  <c r="F24" i="2"/>
  <c r="H24" i="2" s="1"/>
  <c r="K24" i="2" s="1"/>
  <c r="L23" i="2"/>
  <c r="M36" i="3" l="1"/>
  <c r="Q36" i="3" s="1"/>
  <c r="R36" i="3" s="1"/>
  <c r="U22" i="2"/>
  <c r="O23" i="2"/>
  <c r="Q23" i="2" s="1"/>
  <c r="AN23" i="2"/>
  <c r="AO23" i="2" s="1"/>
  <c r="AP23" i="2" s="1"/>
  <c r="BD23" i="2"/>
  <c r="N23" i="2"/>
  <c r="I24" i="2"/>
  <c r="R22" i="2"/>
  <c r="J24" i="2"/>
  <c r="F37" i="3"/>
  <c r="L37" i="3" s="1"/>
  <c r="AA21" i="2"/>
  <c r="K37" i="3" l="1"/>
  <c r="N37" i="3" s="1"/>
  <c r="A36" i="4"/>
  <c r="T23" i="2"/>
  <c r="AC21" i="2"/>
  <c r="X22" i="2"/>
  <c r="Z22" i="2" s="1"/>
  <c r="BE22" i="2"/>
  <c r="AR22" i="2"/>
  <c r="AS22" i="2" s="1"/>
  <c r="AT22" i="2" s="1"/>
  <c r="W22" i="2"/>
  <c r="F25" i="2"/>
  <c r="H25" i="2" s="1"/>
  <c r="K25" i="2" s="1"/>
  <c r="L24" i="2"/>
  <c r="M37" i="3" l="1"/>
  <c r="Q37" i="3" s="1"/>
  <c r="R37" i="3" s="1"/>
  <c r="G37" i="3"/>
  <c r="BD24" i="2"/>
  <c r="AN24" i="2"/>
  <c r="AO24" i="2" s="1"/>
  <c r="AP24" i="2" s="1"/>
  <c r="N24" i="2"/>
  <c r="AB22" i="2"/>
  <c r="S23" i="2"/>
  <c r="BF21" i="2"/>
  <c r="AV21" i="2"/>
  <c r="AW21" i="2" s="1"/>
  <c r="AX21" i="2" s="1"/>
  <c r="AE21" i="2"/>
  <c r="J25" i="2"/>
  <c r="R23" i="2"/>
  <c r="F38" i="3"/>
  <c r="I25" i="2"/>
  <c r="L38" i="3" l="1"/>
  <c r="K38" i="3" s="1"/>
  <c r="N38" i="3" s="1"/>
  <c r="A37" i="4"/>
  <c r="O24" i="2"/>
  <c r="Q24" i="2" s="1"/>
  <c r="T24" i="2" s="1"/>
  <c r="U23" i="2"/>
  <c r="F26" i="2"/>
  <c r="H26" i="2" s="1"/>
  <c r="K26" i="2" s="1"/>
  <c r="L25" i="2"/>
  <c r="AA22" i="2"/>
  <c r="M38" i="3" l="1"/>
  <c r="G38" i="3"/>
  <c r="R24" i="2"/>
  <c r="AC22" i="2"/>
  <c r="X23" i="2"/>
  <c r="Z23" i="2" s="1"/>
  <c r="BE23" i="2"/>
  <c r="AR23" i="2"/>
  <c r="AS23" i="2" s="1"/>
  <c r="AT23" i="2" s="1"/>
  <c r="W23" i="2"/>
  <c r="S24" i="2"/>
  <c r="I26" i="2"/>
  <c r="J26" i="2"/>
  <c r="F39" i="3"/>
  <c r="BD25" i="2"/>
  <c r="N25" i="2"/>
  <c r="AN25" i="2"/>
  <c r="AO25" i="2" s="1"/>
  <c r="AP25" i="2" s="1"/>
  <c r="L39" i="3" l="1"/>
  <c r="K39" i="3" s="1"/>
  <c r="N39" i="3" s="1"/>
  <c r="AV22" i="2"/>
  <c r="AW22" i="2" s="1"/>
  <c r="AX22" i="2" s="1"/>
  <c r="BF22" i="2"/>
  <c r="AE22" i="2"/>
  <c r="U24" i="2"/>
  <c r="O25" i="2"/>
  <c r="Q25" i="2" s="1"/>
  <c r="T25" i="2" s="1"/>
  <c r="F27" i="2"/>
  <c r="H27" i="2" s="1"/>
  <c r="K27" i="2" s="1"/>
  <c r="L26" i="2"/>
  <c r="A38" i="4"/>
  <c r="Q38" i="3"/>
  <c r="R38" i="3" s="1"/>
  <c r="AB23" i="2"/>
  <c r="M39" i="3" l="1"/>
  <c r="G39" i="3"/>
  <c r="R25" i="2"/>
  <c r="BD26" i="2"/>
  <c r="AN26" i="2"/>
  <c r="AO26" i="2" s="1"/>
  <c r="AP26" i="2" s="1"/>
  <c r="N26" i="2"/>
  <c r="AR24" i="2"/>
  <c r="AS24" i="2" s="1"/>
  <c r="AT24" i="2" s="1"/>
  <c r="BE24" i="2"/>
  <c r="W24" i="2"/>
  <c r="S25" i="2"/>
  <c r="J27" i="2"/>
  <c r="I27" i="2"/>
  <c r="F40" i="3"/>
  <c r="AA23" i="2"/>
  <c r="L40" i="3" l="1"/>
  <c r="K40" i="3" s="1"/>
  <c r="N40" i="3" s="1"/>
  <c r="A39" i="4"/>
  <c r="A54" i="4" s="1"/>
  <c r="Q39" i="3"/>
  <c r="R39" i="3" s="1"/>
  <c r="F28" i="2"/>
  <c r="H28" i="2" s="1"/>
  <c r="K28" i="2" s="1"/>
  <c r="L27" i="2"/>
  <c r="U25" i="2"/>
  <c r="O26" i="2"/>
  <c r="Q26" i="2" s="1"/>
  <c r="T26" i="2" s="1"/>
  <c r="X24" i="2"/>
  <c r="Z24" i="2" s="1"/>
  <c r="AB24" i="2" s="1"/>
  <c r="AC23" i="2"/>
  <c r="M40" i="3" l="1"/>
  <c r="G40" i="3"/>
  <c r="F41" i="3"/>
  <c r="R26" i="2"/>
  <c r="BF23" i="2"/>
  <c r="AV23" i="2"/>
  <c r="AW23" i="2" s="1"/>
  <c r="AX23" i="2" s="1"/>
  <c r="AE23" i="2"/>
  <c r="BD27" i="2"/>
  <c r="AN27" i="2"/>
  <c r="AO27" i="2" s="1"/>
  <c r="AP27" i="2" s="1"/>
  <c r="N27" i="2"/>
  <c r="J28" i="2"/>
  <c r="AA24" i="2"/>
  <c r="I28" i="2"/>
  <c r="S26" i="2"/>
  <c r="BE25" i="2"/>
  <c r="AR25" i="2"/>
  <c r="AS25" i="2" s="1"/>
  <c r="AT25" i="2" s="1"/>
  <c r="W25" i="2"/>
  <c r="L41" i="3" l="1"/>
  <c r="A40" i="4"/>
  <c r="U26" i="2"/>
  <c r="O27" i="2"/>
  <c r="Q27" i="2" s="1"/>
  <c r="T27" i="2" s="1"/>
  <c r="X25" i="2"/>
  <c r="Z25" i="2" s="1"/>
  <c r="AB25" i="2" s="1"/>
  <c r="AA25" i="2" s="1"/>
  <c r="AC24" i="2"/>
  <c r="F29" i="2"/>
  <c r="H29" i="2" s="1"/>
  <c r="K29" i="2" s="1"/>
  <c r="L28" i="2"/>
  <c r="K41" i="3" l="1"/>
  <c r="N41" i="3" s="1"/>
  <c r="F42" i="3" s="1"/>
  <c r="Q40" i="3"/>
  <c r="R40" i="3" s="1"/>
  <c r="G41" i="3"/>
  <c r="S27" i="2"/>
  <c r="U27" i="2" s="1"/>
  <c r="R27" i="2"/>
  <c r="X26" i="2"/>
  <c r="Z26" i="2" s="1"/>
  <c r="AC25" i="2"/>
  <c r="I29" i="2"/>
  <c r="J29" i="2"/>
  <c r="BF24" i="2"/>
  <c r="AV24" i="2"/>
  <c r="AW24" i="2" s="1"/>
  <c r="AX24" i="2" s="1"/>
  <c r="AE24" i="2"/>
  <c r="BE26" i="2"/>
  <c r="AR26" i="2"/>
  <c r="AS26" i="2" s="1"/>
  <c r="AT26" i="2" s="1"/>
  <c r="W26" i="2"/>
  <c r="BD28" i="2"/>
  <c r="AN28" i="2"/>
  <c r="AO28" i="2" s="1"/>
  <c r="AP28" i="2" s="1"/>
  <c r="N28" i="2"/>
  <c r="L42" i="3" l="1"/>
  <c r="K42" i="3" s="1"/>
  <c r="M42" i="3" s="1"/>
  <c r="M41" i="3"/>
  <c r="A41" i="4" s="1"/>
  <c r="O28" i="2"/>
  <c r="Q28" i="2" s="1"/>
  <c r="T28" i="2" s="1"/>
  <c r="BF25" i="2"/>
  <c r="AV25" i="2"/>
  <c r="AW25" i="2" s="1"/>
  <c r="AX25" i="2" s="1"/>
  <c r="AE25" i="2"/>
  <c r="BE27" i="2"/>
  <c r="AR27" i="2"/>
  <c r="AS27" i="2" s="1"/>
  <c r="AT27" i="2" s="1"/>
  <c r="W27" i="2"/>
  <c r="F30" i="2"/>
  <c r="H30" i="2" s="1"/>
  <c r="K30" i="2" s="1"/>
  <c r="L29" i="2"/>
  <c r="AB26" i="2"/>
  <c r="AA26" i="2" s="1"/>
  <c r="N42" i="3" l="1"/>
  <c r="F43" i="3" s="1"/>
  <c r="Q41" i="3"/>
  <c r="R41" i="3" s="1"/>
  <c r="G42" i="3"/>
  <c r="I30" i="2"/>
  <c r="AC26" i="2"/>
  <c r="X27" i="2"/>
  <c r="Z27" i="2" s="1"/>
  <c r="AB27" i="2" s="1"/>
  <c r="R28" i="2"/>
  <c r="BD29" i="2"/>
  <c r="AN29" i="2"/>
  <c r="AO29" i="2" s="1"/>
  <c r="AP29" i="2" s="1"/>
  <c r="N29" i="2"/>
  <c r="J30" i="2"/>
  <c r="S28" i="2"/>
  <c r="L43" i="3" l="1"/>
  <c r="K43" i="3" s="1"/>
  <c r="N43" i="3" s="1"/>
  <c r="F31" i="2"/>
  <c r="H31" i="2" s="1"/>
  <c r="L30" i="2"/>
  <c r="O29" i="2"/>
  <c r="Q29" i="2" s="1"/>
  <c r="T29" i="2" s="1"/>
  <c r="U28" i="2"/>
  <c r="A42" i="4"/>
  <c r="Q42" i="3"/>
  <c r="R42" i="3" s="1"/>
  <c r="AA27" i="2"/>
  <c r="AV26" i="2"/>
  <c r="AW26" i="2" s="1"/>
  <c r="AX26" i="2" s="1"/>
  <c r="BF26" i="2"/>
  <c r="AE26" i="2"/>
  <c r="M43" i="3" l="1"/>
  <c r="A43" i="4" s="1"/>
  <c r="G43" i="3"/>
  <c r="S29" i="2"/>
  <c r="U29" i="2" s="1"/>
  <c r="R29" i="2"/>
  <c r="AC27" i="2"/>
  <c r="X28" i="2"/>
  <c r="Z28" i="2" s="1"/>
  <c r="BD30" i="2"/>
  <c r="AN30" i="2"/>
  <c r="AO30" i="2" s="1"/>
  <c r="AP30" i="2" s="1"/>
  <c r="N30" i="2"/>
  <c r="K31" i="2"/>
  <c r="I31" i="2" s="1"/>
  <c r="BE28" i="2"/>
  <c r="AR28" i="2"/>
  <c r="AS28" i="2" s="1"/>
  <c r="AT28" i="2" s="1"/>
  <c r="W28" i="2"/>
  <c r="F44" i="3"/>
  <c r="L44" i="3" l="1"/>
  <c r="K44" i="3" s="1"/>
  <c r="N44" i="3" s="1"/>
  <c r="O30" i="2"/>
  <c r="Q30" i="2" s="1"/>
  <c r="T30" i="2" s="1"/>
  <c r="R30" i="2" s="1"/>
  <c r="Q43" i="3"/>
  <c r="R43" i="3" s="1"/>
  <c r="BE29" i="2"/>
  <c r="AR29" i="2"/>
  <c r="AS29" i="2" s="1"/>
  <c r="AT29" i="2" s="1"/>
  <c r="W29" i="2"/>
  <c r="AB28" i="2"/>
  <c r="AA28" i="2" s="1"/>
  <c r="J31" i="2"/>
  <c r="BF27" i="2"/>
  <c r="AV27" i="2"/>
  <c r="AW27" i="2" s="1"/>
  <c r="AX27" i="2" s="1"/>
  <c r="AE27" i="2"/>
  <c r="M44" i="3" l="1"/>
  <c r="G44" i="3"/>
  <c r="S30" i="2"/>
  <c r="AC28" i="2"/>
  <c r="X29" i="2"/>
  <c r="Z29" i="2" s="1"/>
  <c r="AB29" i="2" s="1"/>
  <c r="F32" i="2"/>
  <c r="H32" i="2" s="1"/>
  <c r="L31" i="2"/>
  <c r="O31" i="2" l="1"/>
  <c r="Q31" i="2" s="1"/>
  <c r="U30" i="2"/>
  <c r="BD31" i="2"/>
  <c r="AN31" i="2"/>
  <c r="AO31" i="2" s="1"/>
  <c r="AP31" i="2" s="1"/>
  <c r="N31" i="2"/>
  <c r="K32" i="2"/>
  <c r="F45" i="3"/>
  <c r="L45" i="3" s="1"/>
  <c r="AA29" i="2"/>
  <c r="BF28" i="2"/>
  <c r="AV28" i="2"/>
  <c r="AW28" i="2" s="1"/>
  <c r="AX28" i="2" s="1"/>
  <c r="AE28" i="2"/>
  <c r="K45" i="3" l="1"/>
  <c r="N45" i="3" s="1"/>
  <c r="J32" i="2"/>
  <c r="X30" i="2"/>
  <c r="Z30" i="2" s="1"/>
  <c r="AC29" i="2"/>
  <c r="Q44" i="3"/>
  <c r="R44" i="3" s="1"/>
  <c r="A44" i="4"/>
  <c r="BE30" i="2"/>
  <c r="AR30" i="2"/>
  <c r="AS30" i="2" s="1"/>
  <c r="AT30" i="2" s="1"/>
  <c r="W30" i="2"/>
  <c r="I32" i="2"/>
  <c r="T31" i="2"/>
  <c r="S31" i="2" s="1"/>
  <c r="M45" i="3" l="1"/>
  <c r="AB30" i="2"/>
  <c r="AA30" i="2" s="1"/>
  <c r="F33" i="2"/>
  <c r="H33" i="2" s="1"/>
  <c r="K33" i="2" s="1"/>
  <c r="L32" i="2"/>
  <c r="R31" i="2"/>
  <c r="O32" i="2"/>
  <c r="Q32" i="2" s="1"/>
  <c r="U31" i="2"/>
  <c r="BF29" i="2"/>
  <c r="AV29" i="2"/>
  <c r="AW29" i="2" s="1"/>
  <c r="AX29" i="2" s="1"/>
  <c r="AE29" i="2"/>
  <c r="G45" i="3"/>
  <c r="A45" i="4" l="1"/>
  <c r="J33" i="2"/>
  <c r="F46" i="3"/>
  <c r="L46" i="3" s="1"/>
  <c r="I33" i="2"/>
  <c r="BE31" i="2"/>
  <c r="AR31" i="2"/>
  <c r="AS31" i="2" s="1"/>
  <c r="AT31" i="2" s="1"/>
  <c r="W31" i="2"/>
  <c r="X31" i="2"/>
  <c r="Z31" i="2" s="1"/>
  <c r="AC30" i="2"/>
  <c r="AN32" i="2"/>
  <c r="AO32" i="2" s="1"/>
  <c r="AP32" i="2" s="1"/>
  <c r="BD32" i="2"/>
  <c r="N32" i="2"/>
  <c r="K46" i="3" l="1"/>
  <c r="N46" i="3" s="1"/>
  <c r="Q45" i="3"/>
  <c r="R45" i="3" s="1"/>
  <c r="F34" i="2"/>
  <c r="H34" i="2" s="1"/>
  <c r="K34" i="2" s="1"/>
  <c r="L33" i="2"/>
  <c r="BF30" i="2"/>
  <c r="AV30" i="2"/>
  <c r="AW30" i="2" s="1"/>
  <c r="AX30" i="2" s="1"/>
  <c r="AE30" i="2"/>
  <c r="T32" i="2"/>
  <c r="AB31" i="2"/>
  <c r="M46" i="3" l="1"/>
  <c r="Q46" i="3" s="1"/>
  <c r="R46" i="3" s="1"/>
  <c r="G46" i="3"/>
  <c r="F47" i="3"/>
  <c r="BD33" i="2"/>
  <c r="AN33" i="2"/>
  <c r="AO33" i="2" s="1"/>
  <c r="AP33" i="2" s="1"/>
  <c r="N33" i="2"/>
  <c r="J34" i="2"/>
  <c r="AA31" i="2"/>
  <c r="R32" i="2"/>
  <c r="S32" i="2"/>
  <c r="I34" i="2"/>
  <c r="L47" i="3" l="1"/>
  <c r="K47" i="3" s="1"/>
  <c r="N47" i="3" s="1"/>
  <c r="A46" i="4"/>
  <c r="F35" i="2"/>
  <c r="H35" i="2" s="1"/>
  <c r="K35" i="2" s="1"/>
  <c r="L34" i="2"/>
  <c r="O33" i="2"/>
  <c r="Q33" i="2" s="1"/>
  <c r="T33" i="2" s="1"/>
  <c r="U32" i="2"/>
  <c r="X32" i="2"/>
  <c r="Z32" i="2" s="1"/>
  <c r="AC31" i="2"/>
  <c r="M47" i="3" l="1"/>
  <c r="Q47" i="3" s="1"/>
  <c r="R47" i="3" s="1"/>
  <c r="G47" i="3"/>
  <c r="R33" i="2"/>
  <c r="S33" i="2"/>
  <c r="U33" i="2" s="1"/>
  <c r="BD34" i="2"/>
  <c r="AN34" i="2"/>
  <c r="AO34" i="2" s="1"/>
  <c r="AP34" i="2" s="1"/>
  <c r="N34" i="2"/>
  <c r="J35" i="2"/>
  <c r="AR32" i="2"/>
  <c r="AS32" i="2" s="1"/>
  <c r="AT32" i="2" s="1"/>
  <c r="BE32" i="2"/>
  <c r="W32" i="2"/>
  <c r="F48" i="3"/>
  <c r="BF31" i="2"/>
  <c r="AV31" i="2"/>
  <c r="AW31" i="2" s="1"/>
  <c r="AX31" i="2" s="1"/>
  <c r="AE31" i="2"/>
  <c r="I35" i="2"/>
  <c r="L48" i="3" l="1"/>
  <c r="K48" i="3" s="1"/>
  <c r="N48" i="3" s="1"/>
  <c r="A47" i="4"/>
  <c r="O34" i="2"/>
  <c r="Q34" i="2" s="1"/>
  <c r="T34" i="2" s="1"/>
  <c r="F36" i="2"/>
  <c r="H36" i="2" s="1"/>
  <c r="K36" i="2" s="1"/>
  <c r="L35" i="2"/>
  <c r="AR33" i="2"/>
  <c r="AS33" i="2" s="1"/>
  <c r="AT33" i="2" s="1"/>
  <c r="BE33" i="2"/>
  <c r="W33" i="2"/>
  <c r="AB32" i="2"/>
  <c r="AA32" i="2" s="1"/>
  <c r="M48" i="3" l="1"/>
  <c r="Q48" i="3" s="1"/>
  <c r="R48" i="3" s="1"/>
  <c r="G48" i="3"/>
  <c r="S34" i="2"/>
  <c r="J36" i="2"/>
  <c r="F49" i="3"/>
  <c r="R34" i="2"/>
  <c r="X33" i="2"/>
  <c r="Z33" i="2" s="1"/>
  <c r="AB33" i="2" s="1"/>
  <c r="AC32" i="2"/>
  <c r="I36" i="2"/>
  <c r="BD35" i="2"/>
  <c r="AN35" i="2"/>
  <c r="AO35" i="2" s="1"/>
  <c r="AP35" i="2" s="1"/>
  <c r="N35" i="2"/>
  <c r="L49" i="3" l="1"/>
  <c r="K49" i="3" s="1"/>
  <c r="N49" i="3" s="1"/>
  <c r="A48" i="4"/>
  <c r="U34" i="2"/>
  <c r="BE34" i="2" s="1"/>
  <c r="O35" i="2"/>
  <c r="Q35" i="2" s="1"/>
  <c r="T35" i="2" s="1"/>
  <c r="AA33" i="2"/>
  <c r="F37" i="2"/>
  <c r="H37" i="2" s="1"/>
  <c r="K37" i="2" s="1"/>
  <c r="L36" i="2"/>
  <c r="AV32" i="2"/>
  <c r="AW32" i="2" s="1"/>
  <c r="AX32" i="2" s="1"/>
  <c r="BF32" i="2"/>
  <c r="AE32" i="2"/>
  <c r="M49" i="3" l="1"/>
  <c r="AR34" i="2"/>
  <c r="AS34" i="2" s="1"/>
  <c r="AT34" i="2" s="1"/>
  <c r="G49" i="3"/>
  <c r="W34" i="2"/>
  <c r="J37" i="2"/>
  <c r="X34" i="2"/>
  <c r="Z34" i="2" s="1"/>
  <c r="AC33" i="2"/>
  <c r="R35" i="2"/>
  <c r="S35" i="2"/>
  <c r="F50" i="3"/>
  <c r="I37" i="2"/>
  <c r="AN36" i="2"/>
  <c r="AO36" i="2" s="1"/>
  <c r="AP36" i="2" s="1"/>
  <c r="BD36" i="2"/>
  <c r="N36" i="2"/>
  <c r="L50" i="3" l="1"/>
  <c r="AB34" i="2"/>
  <c r="AA34" i="2" s="1"/>
  <c r="U35" i="2"/>
  <c r="O36" i="2"/>
  <c r="Q36" i="2" s="1"/>
  <c r="T36" i="2" s="1"/>
  <c r="Q49" i="3"/>
  <c r="R49" i="3" s="1"/>
  <c r="A49" i="4"/>
  <c r="F38" i="2"/>
  <c r="H38" i="2" s="1"/>
  <c r="K38" i="2" s="1"/>
  <c r="L37" i="2"/>
  <c r="BF33" i="2"/>
  <c r="AV33" i="2"/>
  <c r="AW33" i="2" s="1"/>
  <c r="AX33" i="2" s="1"/>
  <c r="AE33" i="2"/>
  <c r="K50" i="3" l="1"/>
  <c r="N50" i="3" s="1"/>
  <c r="F51" i="3" s="1"/>
  <c r="G50" i="3"/>
  <c r="R36" i="2"/>
  <c r="J38" i="2"/>
  <c r="I38" i="2"/>
  <c r="BE35" i="2"/>
  <c r="AR35" i="2"/>
  <c r="AS35" i="2" s="1"/>
  <c r="AT35" i="2" s="1"/>
  <c r="W35" i="2"/>
  <c r="BD37" i="2"/>
  <c r="N37" i="2"/>
  <c r="AN37" i="2"/>
  <c r="AO37" i="2" s="1"/>
  <c r="AP37" i="2" s="1"/>
  <c r="X35" i="2"/>
  <c r="Z35" i="2" s="1"/>
  <c r="AC34" i="2"/>
  <c r="S36" i="2"/>
  <c r="L51" i="3" l="1"/>
  <c r="K51" i="3" s="1"/>
  <c r="M51" i="3" s="1"/>
  <c r="M50" i="3"/>
  <c r="Q50" i="3" s="1"/>
  <c r="R50" i="3" s="1"/>
  <c r="AB35" i="2"/>
  <c r="AA35" i="2" s="1"/>
  <c r="F39" i="2"/>
  <c r="H39" i="2" s="1"/>
  <c r="K39" i="2" s="1"/>
  <c r="L38" i="2"/>
  <c r="BF34" i="2"/>
  <c r="AV34" i="2"/>
  <c r="AW34" i="2" s="1"/>
  <c r="AX34" i="2" s="1"/>
  <c r="AE34" i="2"/>
  <c r="O37" i="2"/>
  <c r="Q37" i="2" s="1"/>
  <c r="T37" i="2" s="1"/>
  <c r="U36" i="2"/>
  <c r="A50" i="4" l="1"/>
  <c r="N51" i="3"/>
  <c r="F52" i="3" s="1"/>
  <c r="G51" i="3"/>
  <c r="A51" i="4"/>
  <c r="S37" i="2"/>
  <c r="U37" i="2" s="1"/>
  <c r="X36" i="2"/>
  <c r="Z36" i="2" s="1"/>
  <c r="AC35" i="2"/>
  <c r="BE36" i="2"/>
  <c r="AR36" i="2"/>
  <c r="AS36" i="2" s="1"/>
  <c r="AT36" i="2" s="1"/>
  <c r="W36" i="2"/>
  <c r="AN38" i="2"/>
  <c r="AO38" i="2" s="1"/>
  <c r="AP38" i="2" s="1"/>
  <c r="BD38" i="2"/>
  <c r="N38" i="2"/>
  <c r="J39" i="2"/>
  <c r="I39" i="2"/>
  <c r="R37" i="2"/>
  <c r="L52" i="3" l="1"/>
  <c r="K52" i="3" s="1"/>
  <c r="N52" i="3" s="1"/>
  <c r="Q51" i="3"/>
  <c r="R51" i="3" s="1"/>
  <c r="O38" i="2"/>
  <c r="Q38" i="2" s="1"/>
  <c r="T38" i="2" s="1"/>
  <c r="F40" i="2"/>
  <c r="H40" i="2" s="1"/>
  <c r="K40" i="2" s="1"/>
  <c r="L39" i="2"/>
  <c r="AB36" i="2"/>
  <c r="BE37" i="2"/>
  <c r="AR37" i="2"/>
  <c r="AS37" i="2" s="1"/>
  <c r="AT37" i="2" s="1"/>
  <c r="W37" i="2"/>
  <c r="AV35" i="2"/>
  <c r="AW35" i="2" s="1"/>
  <c r="AX35" i="2" s="1"/>
  <c r="BF35" i="2"/>
  <c r="AE35" i="2"/>
  <c r="M52" i="3" l="1"/>
  <c r="S38" i="2"/>
  <c r="F53" i="3"/>
  <c r="G52" i="3"/>
  <c r="R38" i="2"/>
  <c r="I40" i="2"/>
  <c r="BD39" i="2"/>
  <c r="AN39" i="2"/>
  <c r="AO39" i="2" s="1"/>
  <c r="AP39" i="2" s="1"/>
  <c r="N39" i="2"/>
  <c r="BM40" i="2"/>
  <c r="J40" i="2"/>
  <c r="BM7" i="2"/>
  <c r="BM8" i="2"/>
  <c r="BM9" i="2"/>
  <c r="BM10" i="2"/>
  <c r="BM5" i="2"/>
  <c r="BM6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6" i="2"/>
  <c r="BM39" i="2"/>
  <c r="BM38" i="2"/>
  <c r="BM35" i="2"/>
  <c r="BM37" i="2"/>
  <c r="AA36" i="2"/>
  <c r="L53" i="3" l="1"/>
  <c r="L54" i="3" s="1"/>
  <c r="U38" i="2"/>
  <c r="BE38" i="2" s="1"/>
  <c r="O39" i="2"/>
  <c r="Q39" i="2" s="1"/>
  <c r="A52" i="4"/>
  <c r="BP38" i="2"/>
  <c r="BP21" i="2"/>
  <c r="BP13" i="2"/>
  <c r="F54" i="3"/>
  <c r="BP39" i="2"/>
  <c r="BP32" i="2"/>
  <c r="BP28" i="2"/>
  <c r="BP24" i="2"/>
  <c r="BP20" i="2"/>
  <c r="BP16" i="2"/>
  <c r="BP12" i="2"/>
  <c r="BP10" i="2"/>
  <c r="F41" i="2"/>
  <c r="H41" i="2" s="1"/>
  <c r="L40" i="2"/>
  <c r="BP29" i="2"/>
  <c r="BP17" i="2"/>
  <c r="BP5" i="2"/>
  <c r="BP40" i="2"/>
  <c r="T39" i="2"/>
  <c r="BP37" i="2"/>
  <c r="BP31" i="2"/>
  <c r="BP27" i="2"/>
  <c r="BP23" i="2"/>
  <c r="BP19" i="2"/>
  <c r="BP15" i="2"/>
  <c r="BP11" i="2"/>
  <c r="BP9" i="2"/>
  <c r="BP33" i="2"/>
  <c r="BP25" i="2"/>
  <c r="BP7" i="2"/>
  <c r="X37" i="2"/>
  <c r="Z37" i="2" s="1"/>
  <c r="AB37" i="2" s="1"/>
  <c r="AC36" i="2"/>
  <c r="BP36" i="2"/>
  <c r="BP35" i="2"/>
  <c r="BP34" i="2"/>
  <c r="BP30" i="2"/>
  <c r="BP26" i="2"/>
  <c r="BP22" i="2"/>
  <c r="BP18" i="2"/>
  <c r="BP14" i="2"/>
  <c r="BP6" i="2"/>
  <c r="BP8" i="2"/>
  <c r="K53" i="3" l="1"/>
  <c r="G53" i="3"/>
  <c r="AR38" i="2"/>
  <c r="AS38" i="2" s="1"/>
  <c r="AT38" i="2" s="1"/>
  <c r="W38" i="2"/>
  <c r="S39" i="2"/>
  <c r="U39" i="2" s="1"/>
  <c r="Q52" i="3"/>
  <c r="R52" i="3" s="1"/>
  <c r="BV22" i="2"/>
  <c r="BS22" i="2"/>
  <c r="BV13" i="2"/>
  <c r="BS13" i="2"/>
  <c r="AA37" i="2"/>
  <c r="BS11" i="2"/>
  <c r="BV11" i="2"/>
  <c r="BV23" i="2"/>
  <c r="BS23" i="2"/>
  <c r="BS27" i="2"/>
  <c r="BV27" i="2"/>
  <c r="BV40" i="2"/>
  <c r="BS40" i="2"/>
  <c r="BS20" i="2"/>
  <c r="BV20" i="2"/>
  <c r="BS39" i="2"/>
  <c r="BV39" i="2"/>
  <c r="AV36" i="2"/>
  <c r="AW36" i="2" s="1"/>
  <c r="AX36" i="2" s="1"/>
  <c r="BF36" i="2"/>
  <c r="AE36" i="2"/>
  <c r="K41" i="2"/>
  <c r="I41" i="2" s="1"/>
  <c r="BS8" i="2"/>
  <c r="BV8" i="2"/>
  <c r="BS18" i="2"/>
  <c r="BV18" i="2"/>
  <c r="BV34" i="2"/>
  <c r="BS34" i="2"/>
  <c r="BV33" i="2"/>
  <c r="BS33" i="2"/>
  <c r="BV9" i="2"/>
  <c r="BS9" i="2"/>
  <c r="BV37" i="2"/>
  <c r="BS37" i="2"/>
  <c r="BV29" i="2"/>
  <c r="BS29" i="2"/>
  <c r="BV16" i="2"/>
  <c r="BS16" i="2"/>
  <c r="BS32" i="2"/>
  <c r="BV32" i="2"/>
  <c r="BS21" i="2"/>
  <c r="BV21" i="2"/>
  <c r="BV38" i="2"/>
  <c r="BS38" i="2"/>
  <c r="BS6" i="2"/>
  <c r="BV6" i="2"/>
  <c r="BV26" i="2"/>
  <c r="BS26" i="2"/>
  <c r="BV35" i="2"/>
  <c r="BS35" i="2"/>
  <c r="BV7" i="2"/>
  <c r="BS7" i="2"/>
  <c r="BV15" i="2"/>
  <c r="BS15" i="2"/>
  <c r="BV31" i="2"/>
  <c r="BS31" i="2"/>
  <c r="BV5" i="2"/>
  <c r="BS5" i="2"/>
  <c r="CB5" i="2"/>
  <c r="BS24" i="2"/>
  <c r="BV24" i="2"/>
  <c r="BV14" i="2"/>
  <c r="BS14" i="2"/>
  <c r="BS30" i="2"/>
  <c r="BV30" i="2"/>
  <c r="BS36" i="2"/>
  <c r="BV36" i="2"/>
  <c r="BV25" i="2"/>
  <c r="BS25" i="2"/>
  <c r="BV19" i="2"/>
  <c r="BS19" i="2"/>
  <c r="BV17" i="2"/>
  <c r="BS17" i="2"/>
  <c r="BD40" i="2"/>
  <c r="AN40" i="2"/>
  <c r="AO40" i="2" s="1"/>
  <c r="AP40" i="2" s="1"/>
  <c r="N40" i="2"/>
  <c r="BS10" i="2"/>
  <c r="BV10" i="2"/>
  <c r="BV12" i="2"/>
  <c r="BS12" i="2"/>
  <c r="BV28" i="2"/>
  <c r="BS28" i="2"/>
  <c r="R39" i="2"/>
  <c r="N53" i="3" l="1"/>
  <c r="N54" i="3" s="1"/>
  <c r="K54" i="3"/>
  <c r="M53" i="3"/>
  <c r="O40" i="2"/>
  <c r="Q40" i="2" s="1"/>
  <c r="T40" i="2" s="1"/>
  <c r="X38" i="2"/>
  <c r="Z38" i="2" s="1"/>
  <c r="AB38" i="2" s="1"/>
  <c r="AC37" i="2"/>
  <c r="AR39" i="2"/>
  <c r="AS39" i="2" s="1"/>
  <c r="AT39" i="2" s="1"/>
  <c r="BE39" i="2"/>
  <c r="W39" i="2"/>
  <c r="J41" i="2"/>
  <c r="BM41" i="2"/>
  <c r="A53" i="4" l="1"/>
  <c r="M54" i="3"/>
  <c r="Q53" i="3"/>
  <c r="R53" i="3" s="1"/>
  <c r="R54" i="3" s="1"/>
  <c r="S40" i="2"/>
  <c r="U40" i="2" s="1"/>
  <c r="AA38" i="2"/>
  <c r="BF37" i="2"/>
  <c r="AV37" i="2"/>
  <c r="AW37" i="2" s="1"/>
  <c r="AX37" i="2" s="1"/>
  <c r="AE37" i="2"/>
  <c r="BN40" i="2"/>
  <c r="BN9" i="2"/>
  <c r="BN7" i="2"/>
  <c r="BN8" i="2"/>
  <c r="BN6" i="2"/>
  <c r="BN10" i="2"/>
  <c r="BN5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9" i="2"/>
  <c r="BN36" i="2"/>
  <c r="BN38" i="2"/>
  <c r="BN37" i="2"/>
  <c r="R40" i="2"/>
  <c r="F42" i="2"/>
  <c r="H42" i="2" s="1"/>
  <c r="L41" i="2"/>
  <c r="BP41" i="2"/>
  <c r="Q54" i="3" l="1"/>
  <c r="Q9" i="3" s="1"/>
  <c r="O41" i="2"/>
  <c r="Q41" i="2" s="1"/>
  <c r="BQ34" i="2"/>
  <c r="BQ22" i="2"/>
  <c r="BQ18" i="2"/>
  <c r="BQ14" i="2"/>
  <c r="BQ5" i="2"/>
  <c r="BQ7" i="2"/>
  <c r="BE40" i="2"/>
  <c r="AR40" i="2"/>
  <c r="AS40" i="2" s="1"/>
  <c r="AT40" i="2" s="1"/>
  <c r="W40" i="2"/>
  <c r="BS41" i="2"/>
  <c r="BV41" i="2"/>
  <c r="K42" i="2"/>
  <c r="I42" i="2" s="1"/>
  <c r="BQ36" i="2"/>
  <c r="BQ33" i="2"/>
  <c r="BQ29" i="2"/>
  <c r="BQ25" i="2"/>
  <c r="BQ21" i="2"/>
  <c r="BQ17" i="2"/>
  <c r="BQ13" i="2"/>
  <c r="BQ10" i="2"/>
  <c r="BQ9" i="2"/>
  <c r="BQ38" i="2"/>
  <c r="BQ30" i="2"/>
  <c r="BQ39" i="2"/>
  <c r="BQ32" i="2"/>
  <c r="BQ28" i="2"/>
  <c r="BQ24" i="2"/>
  <c r="BQ20" i="2"/>
  <c r="BQ16" i="2"/>
  <c r="BQ12" i="2"/>
  <c r="BQ6" i="2"/>
  <c r="X39" i="2"/>
  <c r="Z39" i="2" s="1"/>
  <c r="AB39" i="2" s="1"/>
  <c r="AC38" i="2"/>
  <c r="BD41" i="2"/>
  <c r="AN41" i="2"/>
  <c r="AO41" i="2" s="1"/>
  <c r="AP41" i="2" s="1"/>
  <c r="N41" i="2"/>
  <c r="BQ26" i="2"/>
  <c r="BQ37" i="2"/>
  <c r="BQ35" i="2"/>
  <c r="BQ31" i="2"/>
  <c r="BQ27" i="2"/>
  <c r="BQ23" i="2"/>
  <c r="BQ19" i="2"/>
  <c r="BQ15" i="2"/>
  <c r="BQ11" i="2"/>
  <c r="BQ8" i="2"/>
  <c r="BQ40" i="2"/>
  <c r="CB6" i="2" l="1"/>
  <c r="R55" i="3"/>
  <c r="R56" i="3" s="1"/>
  <c r="BT40" i="2"/>
  <c r="BW40" i="2"/>
  <c r="BT19" i="2"/>
  <c r="BW19" i="2"/>
  <c r="BT26" i="2"/>
  <c r="BW26" i="2"/>
  <c r="BW28" i="2"/>
  <c r="BT28" i="2"/>
  <c r="BT13" i="2"/>
  <c r="BW13" i="2"/>
  <c r="BT29" i="2"/>
  <c r="BW29" i="2"/>
  <c r="BW22" i="2"/>
  <c r="BT22" i="2"/>
  <c r="BT8" i="2"/>
  <c r="BW8" i="2"/>
  <c r="BT15" i="2"/>
  <c r="BW15" i="2"/>
  <c r="T41" i="2"/>
  <c r="BT12" i="2"/>
  <c r="BW12" i="2"/>
  <c r="BT39" i="2"/>
  <c r="BW39" i="2"/>
  <c r="BW7" i="2"/>
  <c r="BT7" i="2"/>
  <c r="BT14" i="2"/>
  <c r="BW14" i="2"/>
  <c r="BT11" i="2"/>
  <c r="BW11" i="2"/>
  <c r="BT23" i="2"/>
  <c r="BW23" i="2"/>
  <c r="BT31" i="2"/>
  <c r="BW31" i="2"/>
  <c r="BT37" i="2"/>
  <c r="BW37" i="2"/>
  <c r="BF38" i="2"/>
  <c r="AV38" i="2"/>
  <c r="AW38" i="2" s="1"/>
  <c r="AX38" i="2" s="1"/>
  <c r="AE38" i="2"/>
  <c r="BT6" i="2"/>
  <c r="BW6" i="2"/>
  <c r="BT16" i="2"/>
  <c r="BW16" i="2"/>
  <c r="BT38" i="2"/>
  <c r="BW38" i="2"/>
  <c r="BT10" i="2"/>
  <c r="BW10" i="2"/>
  <c r="BT17" i="2"/>
  <c r="BW17" i="2"/>
  <c r="BT25" i="2"/>
  <c r="BW25" i="2"/>
  <c r="BT33" i="2"/>
  <c r="BW33" i="2"/>
  <c r="J42" i="2"/>
  <c r="BM42" i="2"/>
  <c r="BW18" i="2"/>
  <c r="BT18" i="2"/>
  <c r="BW20" i="2"/>
  <c r="BT20" i="2"/>
  <c r="BT27" i="2"/>
  <c r="BW27" i="2"/>
  <c r="BT35" i="2"/>
  <c r="BW35" i="2"/>
  <c r="AA39" i="2"/>
  <c r="BT24" i="2"/>
  <c r="BW24" i="2"/>
  <c r="BT32" i="2"/>
  <c r="BW32" i="2"/>
  <c r="BW30" i="2"/>
  <c r="BT30" i="2"/>
  <c r="BT9" i="2"/>
  <c r="BW9" i="2"/>
  <c r="BT21" i="2"/>
  <c r="BW21" i="2"/>
  <c r="BT36" i="2"/>
  <c r="BW36" i="2"/>
  <c r="BT5" i="2"/>
  <c r="BW5" i="2"/>
  <c r="BI5" i="2" s="1"/>
  <c r="BW34" i="2"/>
  <c r="BT34" i="2"/>
  <c r="BI21" i="2" l="1"/>
  <c r="J12" i="3"/>
  <c r="BI16" i="2"/>
  <c r="BI27" i="2"/>
  <c r="BI23" i="2"/>
  <c r="BI34" i="2"/>
  <c r="BI24" i="2"/>
  <c r="BI38" i="2"/>
  <c r="BI31" i="2"/>
  <c r="BI28" i="2"/>
  <c r="BI35" i="2"/>
  <c r="BI20" i="2"/>
  <c r="BI11" i="2"/>
  <c r="BI30" i="2"/>
  <c r="BI17" i="2"/>
  <c r="BI9" i="2"/>
  <c r="BI18" i="2"/>
  <c r="BI14" i="2"/>
  <c r="BI39" i="2"/>
  <c r="BP42" i="2"/>
  <c r="BI33" i="2"/>
  <c r="BI6" i="2"/>
  <c r="BI7" i="2"/>
  <c r="BI15" i="2"/>
  <c r="BI13" i="2"/>
  <c r="BI26" i="2"/>
  <c r="BI40" i="2"/>
  <c r="BI36" i="2"/>
  <c r="BI32" i="2"/>
  <c r="X40" i="2"/>
  <c r="Z40" i="2" s="1"/>
  <c r="AB40" i="2" s="1"/>
  <c r="AC39" i="2"/>
  <c r="BI37" i="2"/>
  <c r="BI12" i="2"/>
  <c r="BI22" i="2"/>
  <c r="F43" i="2"/>
  <c r="H43" i="2" s="1"/>
  <c r="L42" i="2"/>
  <c r="BN41" i="2"/>
  <c r="R41" i="2"/>
  <c r="BI25" i="2"/>
  <c r="BI10" i="2"/>
  <c r="S41" i="2"/>
  <c r="BI8" i="2"/>
  <c r="BI29" i="2"/>
  <c r="BI19" i="2"/>
  <c r="R57" i="3" l="1"/>
  <c r="CB8" i="2"/>
  <c r="K43" i="2"/>
  <c r="I43" i="2" s="1"/>
  <c r="BQ41" i="2"/>
  <c r="BO40" i="2"/>
  <c r="BR40" i="2" s="1"/>
  <c r="BO9" i="2"/>
  <c r="BR9" i="2" s="1"/>
  <c r="BO8" i="2"/>
  <c r="BR8" i="2" s="1"/>
  <c r="BO10" i="2"/>
  <c r="BR10" i="2" s="1"/>
  <c r="BO6" i="2"/>
  <c r="BR6" i="2" s="1"/>
  <c r="BO7" i="2"/>
  <c r="BR7" i="2" s="1"/>
  <c r="BO5" i="2"/>
  <c r="BR5" i="2" s="1"/>
  <c r="BO11" i="2"/>
  <c r="BR11" i="2" s="1"/>
  <c r="BO12" i="2"/>
  <c r="BR12" i="2" s="1"/>
  <c r="BO13" i="2"/>
  <c r="BR13" i="2" s="1"/>
  <c r="BO14" i="2"/>
  <c r="BR14" i="2" s="1"/>
  <c r="BO15" i="2"/>
  <c r="BR15" i="2" s="1"/>
  <c r="BO16" i="2"/>
  <c r="BR16" i="2" s="1"/>
  <c r="BO17" i="2"/>
  <c r="BR17" i="2" s="1"/>
  <c r="BO18" i="2"/>
  <c r="BR18" i="2" s="1"/>
  <c r="BO19" i="2"/>
  <c r="BR19" i="2" s="1"/>
  <c r="BO20" i="2"/>
  <c r="BR20" i="2" s="1"/>
  <c r="BO21" i="2"/>
  <c r="BR21" i="2" s="1"/>
  <c r="BO22" i="2"/>
  <c r="BR22" i="2" s="1"/>
  <c r="BO23" i="2"/>
  <c r="BR23" i="2" s="1"/>
  <c r="BO24" i="2"/>
  <c r="BR24" i="2" s="1"/>
  <c r="BO27" i="2"/>
  <c r="BR27" i="2" s="1"/>
  <c r="BO25" i="2"/>
  <c r="BR25" i="2" s="1"/>
  <c r="BO28" i="2"/>
  <c r="BR28" i="2" s="1"/>
  <c r="BO26" i="2"/>
  <c r="BR26" i="2" s="1"/>
  <c r="BO29" i="2"/>
  <c r="BR29" i="2" s="1"/>
  <c r="BO31" i="2"/>
  <c r="BR31" i="2" s="1"/>
  <c r="BO30" i="2"/>
  <c r="BR30" i="2" s="1"/>
  <c r="BO33" i="2"/>
  <c r="BR33" i="2" s="1"/>
  <c r="BO32" i="2"/>
  <c r="BR32" i="2" s="1"/>
  <c r="BO34" i="2"/>
  <c r="BR34" i="2" s="1"/>
  <c r="AA40" i="2"/>
  <c r="BO39" i="2"/>
  <c r="BR39" i="2" s="1"/>
  <c r="BO36" i="2"/>
  <c r="BR36" i="2" s="1"/>
  <c r="BO37" i="2"/>
  <c r="BR37" i="2" s="1"/>
  <c r="BO35" i="2"/>
  <c r="BR35" i="2" s="1"/>
  <c r="BO38" i="2"/>
  <c r="BR38" i="2" s="1"/>
  <c r="O42" i="2"/>
  <c r="Q42" i="2" s="1"/>
  <c r="U41" i="2"/>
  <c r="AV39" i="2"/>
  <c r="AW39" i="2" s="1"/>
  <c r="AX39" i="2" s="1"/>
  <c r="BF39" i="2"/>
  <c r="AE39" i="2"/>
  <c r="BD42" i="2"/>
  <c r="AN42" i="2"/>
  <c r="AO42" i="2" s="1"/>
  <c r="AP42" i="2" s="1"/>
  <c r="N42" i="2"/>
  <c r="BS42" i="2"/>
  <c r="BV42" i="2"/>
  <c r="CB7" i="2" l="1"/>
  <c r="BU32" i="2"/>
  <c r="BX32" i="2"/>
  <c r="BU21" i="2"/>
  <c r="BX21" i="2"/>
  <c r="BU7" i="2"/>
  <c r="BX7" i="2"/>
  <c r="BE41" i="2"/>
  <c r="AR41" i="2"/>
  <c r="AS41" i="2" s="1"/>
  <c r="AT41" i="2" s="1"/>
  <c r="W41" i="2"/>
  <c r="BU38" i="2"/>
  <c r="BX38" i="2"/>
  <c r="BU39" i="2"/>
  <c r="BX39" i="2"/>
  <c r="BX33" i="2"/>
  <c r="BU33" i="2"/>
  <c r="BU26" i="2"/>
  <c r="BX26" i="2"/>
  <c r="BU24" i="2"/>
  <c r="BX24" i="2"/>
  <c r="BU20" i="2"/>
  <c r="BX20" i="2"/>
  <c r="BX16" i="2"/>
  <c r="BU16" i="2"/>
  <c r="BU12" i="2"/>
  <c r="BX12" i="2"/>
  <c r="BU6" i="2"/>
  <c r="BX6" i="2"/>
  <c r="BU40" i="2"/>
  <c r="BX40" i="2"/>
  <c r="BU36" i="2"/>
  <c r="BX36" i="2"/>
  <c r="BU27" i="2"/>
  <c r="BX27" i="2"/>
  <c r="BJ27" i="2" s="1"/>
  <c r="BU9" i="2"/>
  <c r="BX9" i="2"/>
  <c r="BU35" i="2"/>
  <c r="BX35" i="2"/>
  <c r="X41" i="2"/>
  <c r="Z41" i="2" s="1"/>
  <c r="AC40" i="2"/>
  <c r="BU30" i="2"/>
  <c r="BX30" i="2"/>
  <c r="BU28" i="2"/>
  <c r="BX28" i="2"/>
  <c r="BU23" i="2"/>
  <c r="BX23" i="2"/>
  <c r="BU19" i="2"/>
  <c r="BX19" i="2"/>
  <c r="BU15" i="2"/>
  <c r="BX15" i="2"/>
  <c r="BU11" i="2"/>
  <c r="BX11" i="2"/>
  <c r="BU10" i="2"/>
  <c r="BX10" i="2"/>
  <c r="BU29" i="2"/>
  <c r="BX29" i="2"/>
  <c r="BU17" i="2"/>
  <c r="BX17" i="2"/>
  <c r="BU13" i="2"/>
  <c r="BX13" i="2"/>
  <c r="T42" i="2"/>
  <c r="BU37" i="2"/>
  <c r="BX37" i="2"/>
  <c r="BU34" i="2"/>
  <c r="BX34" i="2"/>
  <c r="BU31" i="2"/>
  <c r="BX31" i="2"/>
  <c r="BU25" i="2"/>
  <c r="BX25" i="2"/>
  <c r="BU22" i="2"/>
  <c r="BX22" i="2"/>
  <c r="BX18" i="2"/>
  <c r="BU18" i="2"/>
  <c r="BU14" i="2"/>
  <c r="BX14" i="2"/>
  <c r="BU5" i="2"/>
  <c r="BX5" i="2"/>
  <c r="BJ5" i="2" s="1"/>
  <c r="BX8" i="2"/>
  <c r="BU8" i="2"/>
  <c r="BT41" i="2"/>
  <c r="BW41" i="2"/>
  <c r="BI41" i="2" s="1"/>
  <c r="J43" i="2"/>
  <c r="BM43" i="2"/>
  <c r="BJ29" i="2" l="1"/>
  <c r="BJ33" i="2"/>
  <c r="BJ40" i="2"/>
  <c r="BJ10" i="2"/>
  <c r="BJ39" i="2"/>
  <c r="BJ25" i="2"/>
  <c r="BJ18" i="2"/>
  <c r="BJ13" i="2"/>
  <c r="BJ11" i="2"/>
  <c r="BJ28" i="2"/>
  <c r="BJ14" i="2"/>
  <c r="BJ22" i="2"/>
  <c r="BJ31" i="2"/>
  <c r="BJ37" i="2"/>
  <c r="AB41" i="2"/>
  <c r="BO41" i="2" s="1"/>
  <c r="BR41" i="2" s="1"/>
  <c r="BJ16" i="2"/>
  <c r="BJ7" i="2"/>
  <c r="BJ32" i="2"/>
  <c r="F44" i="2"/>
  <c r="H44" i="2" s="1"/>
  <c r="L43" i="2"/>
  <c r="BJ8" i="2"/>
  <c r="BJ19" i="2"/>
  <c r="AV40" i="2"/>
  <c r="AW40" i="2" s="1"/>
  <c r="AX40" i="2" s="1"/>
  <c r="BF40" i="2"/>
  <c r="AE40" i="2"/>
  <c r="AG5" i="2" s="1"/>
  <c r="AH5" i="2" s="1"/>
  <c r="BJ12" i="2"/>
  <c r="BJ20" i="2"/>
  <c r="BJ26" i="2"/>
  <c r="BP43" i="2"/>
  <c r="BJ34" i="2"/>
  <c r="BJ21" i="2"/>
  <c r="BN42" i="2"/>
  <c r="S42" i="2"/>
  <c r="BJ17" i="2"/>
  <c r="BJ15" i="2"/>
  <c r="BJ23" i="2"/>
  <c r="BJ30" i="2"/>
  <c r="BJ35" i="2"/>
  <c r="BJ9" i="2"/>
  <c r="BJ36" i="2"/>
  <c r="BJ6" i="2"/>
  <c r="BJ24" i="2"/>
  <c r="BJ38" i="2"/>
  <c r="R42" i="2"/>
  <c r="AI5" i="2" l="1"/>
  <c r="AJ5" i="2" s="1"/>
  <c r="AA41" i="2"/>
  <c r="AC41" i="2" s="1"/>
  <c r="CB9" i="2"/>
  <c r="BX41" i="2"/>
  <c r="BJ41" i="2" s="1"/>
  <c r="BU41" i="2"/>
  <c r="AG7" i="2"/>
  <c r="AG9" i="2"/>
  <c r="AG8" i="2"/>
  <c r="AG6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4" i="2"/>
  <c r="AG23" i="2"/>
  <c r="AG25" i="2"/>
  <c r="AG26" i="2"/>
  <c r="AG27" i="2"/>
  <c r="AG28" i="2"/>
  <c r="AG29" i="2"/>
  <c r="AG30" i="2"/>
  <c r="AG31" i="2"/>
  <c r="BV43" i="2"/>
  <c r="BS43" i="2"/>
  <c r="BD43" i="2"/>
  <c r="AN43" i="2"/>
  <c r="AO43" i="2" s="1"/>
  <c r="AP43" i="2" s="1"/>
  <c r="N43" i="2"/>
  <c r="BQ42" i="2"/>
  <c r="K44" i="2"/>
  <c r="O43" i="2"/>
  <c r="Q43" i="2" s="1"/>
  <c r="U42" i="2"/>
  <c r="X42" i="2" l="1"/>
  <c r="Z42" i="2" s="1"/>
  <c r="J44" i="2"/>
  <c r="BM44" i="2"/>
  <c r="BE42" i="2"/>
  <c r="AR42" i="2"/>
  <c r="AS42" i="2" s="1"/>
  <c r="AT42" i="2" s="1"/>
  <c r="W42" i="2"/>
  <c r="BW42" i="2"/>
  <c r="BI42" i="2" s="1"/>
  <c r="BT42" i="2"/>
  <c r="AF6" i="2"/>
  <c r="AH6" i="2" s="1"/>
  <c r="BF41" i="2"/>
  <c r="AV41" i="2"/>
  <c r="AW41" i="2" s="1"/>
  <c r="AX41" i="2" s="1"/>
  <c r="AE41" i="2"/>
  <c r="I44" i="2"/>
  <c r="T43" i="2"/>
  <c r="S43" i="2" s="1"/>
  <c r="AB42" i="2" l="1"/>
  <c r="BO42" i="2" s="1"/>
  <c r="BR42" i="2" s="1"/>
  <c r="AF7" i="2"/>
  <c r="AH7" i="2" s="1"/>
  <c r="AI6" i="2"/>
  <c r="AJ6" i="2" s="1"/>
  <c r="O44" i="2"/>
  <c r="Q44" i="2" s="1"/>
  <c r="U43" i="2"/>
  <c r="BN43" i="2"/>
  <c r="BG5" i="2"/>
  <c r="AZ5" i="2"/>
  <c r="L44" i="2"/>
  <c r="F45" i="2"/>
  <c r="H45" i="2" s="1"/>
  <c r="K45" i="2" s="1"/>
  <c r="BP44" i="2"/>
  <c r="R43" i="2"/>
  <c r="AA42" i="2" l="1"/>
  <c r="AC42" i="2" s="1"/>
  <c r="BG6" i="2"/>
  <c r="AZ6" i="2"/>
  <c r="BQ43" i="2"/>
  <c r="BU42" i="2"/>
  <c r="BX42" i="2"/>
  <c r="BJ42" i="2" s="1"/>
  <c r="I45" i="2"/>
  <c r="BD44" i="2"/>
  <c r="N44" i="2"/>
  <c r="AN44" i="2"/>
  <c r="AO44" i="2" s="1"/>
  <c r="AP44" i="2" s="1"/>
  <c r="BE43" i="2"/>
  <c r="AR43" i="2"/>
  <c r="AS43" i="2" s="1"/>
  <c r="AT43" i="2" s="1"/>
  <c r="W43" i="2"/>
  <c r="BV44" i="2"/>
  <c r="BS44" i="2"/>
  <c r="J45" i="2"/>
  <c r="BM45" i="2"/>
  <c r="AI7" i="2"/>
  <c r="AF8" i="2"/>
  <c r="AH8" i="2" s="1"/>
  <c r="X43" i="2" l="1"/>
  <c r="Z43" i="2" s="1"/>
  <c r="AB43" i="2" s="1"/>
  <c r="BO43" i="2" s="1"/>
  <c r="BR43" i="2" s="1"/>
  <c r="AJ7" i="2"/>
  <c r="BF42" i="2"/>
  <c r="AV42" i="2"/>
  <c r="AW42" i="2" s="1"/>
  <c r="AX42" i="2" s="1"/>
  <c r="AE42" i="2"/>
  <c r="BT43" i="2"/>
  <c r="BW43" i="2"/>
  <c r="BI43" i="2" s="1"/>
  <c r="F46" i="2"/>
  <c r="H46" i="2" s="1"/>
  <c r="K46" i="2" s="1"/>
  <c r="L45" i="2"/>
  <c r="T44" i="2"/>
  <c r="S44" i="2" s="1"/>
  <c r="AI8" i="2"/>
  <c r="AF9" i="2"/>
  <c r="AH9" i="2" s="1"/>
  <c r="BP45" i="2"/>
  <c r="AA43" i="2" l="1"/>
  <c r="X44" i="2" s="1"/>
  <c r="Z44" i="2" s="1"/>
  <c r="O45" i="2"/>
  <c r="Q45" i="2" s="1"/>
  <c r="U44" i="2"/>
  <c r="BU43" i="2"/>
  <c r="BX43" i="2"/>
  <c r="BJ43" i="2" s="1"/>
  <c r="AJ8" i="2"/>
  <c r="AN45" i="2"/>
  <c r="AO45" i="2" s="1"/>
  <c r="AP45" i="2" s="1"/>
  <c r="BD45" i="2"/>
  <c r="N45" i="2"/>
  <c r="BS45" i="2"/>
  <c r="BV45" i="2"/>
  <c r="AI9" i="2"/>
  <c r="AJ9" i="2" s="1"/>
  <c r="AF10" i="2"/>
  <c r="AH10" i="2" s="1"/>
  <c r="BN44" i="2"/>
  <c r="R44" i="2"/>
  <c r="J46" i="2"/>
  <c r="BM46" i="2"/>
  <c r="I46" i="2"/>
  <c r="BG7" i="2"/>
  <c r="AZ7" i="2"/>
  <c r="AC43" i="2" l="1"/>
  <c r="AE43" i="2" s="1"/>
  <c r="BG9" i="2"/>
  <c r="AZ9" i="2"/>
  <c r="F47" i="2"/>
  <c r="H47" i="2" s="1"/>
  <c r="K47" i="2" s="1"/>
  <c r="I47" i="2" s="1"/>
  <c r="L46" i="2"/>
  <c r="AZ8" i="2"/>
  <c r="BG8" i="2"/>
  <c r="BE44" i="2"/>
  <c r="AR44" i="2"/>
  <c r="AS44" i="2" s="1"/>
  <c r="AT44" i="2" s="1"/>
  <c r="W44" i="2"/>
  <c r="AB44" i="2" s="1"/>
  <c r="BP46" i="2"/>
  <c r="AF11" i="2"/>
  <c r="AH11" i="2" s="1"/>
  <c r="AI10" i="2"/>
  <c r="AJ10" i="2" s="1"/>
  <c r="T45" i="2"/>
  <c r="BN45" i="2" s="1"/>
  <c r="BQ44" i="2"/>
  <c r="AV43" i="2" l="1"/>
  <c r="AW43" i="2" s="1"/>
  <c r="AX43" i="2" s="1"/>
  <c r="S45" i="2"/>
  <c r="O46" i="2" s="1"/>
  <c r="Q46" i="2" s="1"/>
  <c r="BF43" i="2"/>
  <c r="AF12" i="2"/>
  <c r="AH12" i="2" s="1"/>
  <c r="AI11" i="2"/>
  <c r="AJ11" i="2" s="1"/>
  <c r="BQ45" i="2"/>
  <c r="R45" i="2"/>
  <c r="AA44" i="2"/>
  <c r="BT44" i="2"/>
  <c r="BW44" i="2"/>
  <c r="BI44" i="2" s="1"/>
  <c r="BD46" i="2"/>
  <c r="N46" i="2"/>
  <c r="AN46" i="2"/>
  <c r="AO46" i="2" s="1"/>
  <c r="AP46" i="2" s="1"/>
  <c r="BO44" i="2"/>
  <c r="BR44" i="2" s="1"/>
  <c r="BV46" i="2"/>
  <c r="BS46" i="2"/>
  <c r="BG10" i="2"/>
  <c r="AZ10" i="2"/>
  <c r="J47" i="2"/>
  <c r="BM47" i="2"/>
  <c r="U45" i="2" l="1"/>
  <c r="BE45" i="2" s="1"/>
  <c r="BG11" i="2"/>
  <c r="AZ11" i="2"/>
  <c r="X45" i="2"/>
  <c r="Z45" i="2" s="1"/>
  <c r="AC44" i="2"/>
  <c r="F48" i="2"/>
  <c r="H48" i="2" s="1"/>
  <c r="L47" i="2"/>
  <c r="BP47" i="2"/>
  <c r="BU44" i="2"/>
  <c r="BX44" i="2"/>
  <c r="BJ44" i="2" s="1"/>
  <c r="T46" i="2"/>
  <c r="BN46" i="2" s="1"/>
  <c r="AF13" i="2"/>
  <c r="AH13" i="2" s="1"/>
  <c r="AI12" i="2"/>
  <c r="AJ12" i="2" s="1"/>
  <c r="BW45" i="2"/>
  <c r="BI45" i="2" s="1"/>
  <c r="BT45" i="2"/>
  <c r="AR45" i="2" l="1"/>
  <c r="AS45" i="2" s="1"/>
  <c r="AT45" i="2" s="1"/>
  <c r="W45" i="2"/>
  <c r="AB45" i="2" s="1"/>
  <c r="BO45" i="2" s="1"/>
  <c r="BR45" i="2" s="1"/>
  <c r="S46" i="2"/>
  <c r="U46" i="2" s="1"/>
  <c r="R46" i="2"/>
  <c r="BG12" i="2"/>
  <c r="AZ12" i="2"/>
  <c r="BS47" i="2"/>
  <c r="BV47" i="2"/>
  <c r="AF14" i="2"/>
  <c r="AH14" i="2" s="1"/>
  <c r="AI13" i="2"/>
  <c r="AJ13" i="2" s="1"/>
  <c r="BQ46" i="2"/>
  <c r="BD47" i="2"/>
  <c r="AN47" i="2"/>
  <c r="AO47" i="2" s="1"/>
  <c r="AP47" i="2" s="1"/>
  <c r="N47" i="2"/>
  <c r="BF44" i="2"/>
  <c r="AV44" i="2"/>
  <c r="AW44" i="2" s="1"/>
  <c r="AX44" i="2" s="1"/>
  <c r="AE44" i="2"/>
  <c r="K48" i="2"/>
  <c r="O47" i="2" l="1"/>
  <c r="Q47" i="2" s="1"/>
  <c r="T47" i="2" s="1"/>
  <c r="AA45" i="2"/>
  <c r="AC45" i="2" s="1"/>
  <c r="J48" i="2"/>
  <c r="BM48" i="2"/>
  <c r="AF15" i="2"/>
  <c r="AH15" i="2" s="1"/>
  <c r="AI14" i="2"/>
  <c r="AJ14" i="2" s="1"/>
  <c r="BT46" i="2"/>
  <c r="BW46" i="2"/>
  <c r="BI46" i="2" s="1"/>
  <c r="BG13" i="2"/>
  <c r="AZ13" i="2"/>
  <c r="BU45" i="2"/>
  <c r="BX45" i="2"/>
  <c r="BJ45" i="2" s="1"/>
  <c r="I48" i="2"/>
  <c r="BE46" i="2"/>
  <c r="AR46" i="2"/>
  <c r="AS46" i="2" s="1"/>
  <c r="AT46" i="2" s="1"/>
  <c r="W46" i="2"/>
  <c r="BN47" i="2" l="1"/>
  <c r="BQ47" i="2" s="1"/>
  <c r="X46" i="2"/>
  <c r="Z46" i="2" s="1"/>
  <c r="AB46" i="2" s="1"/>
  <c r="BO46" i="2" s="1"/>
  <c r="BR46" i="2" s="1"/>
  <c r="BX46" i="2" s="1"/>
  <c r="BJ46" i="2" s="1"/>
  <c r="BG14" i="2"/>
  <c r="AZ14" i="2"/>
  <c r="BF45" i="2"/>
  <c r="AV45" i="2"/>
  <c r="AW45" i="2" s="1"/>
  <c r="AX45" i="2" s="1"/>
  <c r="AE45" i="2"/>
  <c r="BP48" i="2"/>
  <c r="S47" i="2"/>
  <c r="L48" i="2"/>
  <c r="F49" i="2"/>
  <c r="H49" i="2" s="1"/>
  <c r="K49" i="2" s="1"/>
  <c r="AF16" i="2"/>
  <c r="AH16" i="2" s="1"/>
  <c r="AI15" i="2"/>
  <c r="AJ15" i="2" s="1"/>
  <c r="R47" i="2"/>
  <c r="BU46" i="2" l="1"/>
  <c r="AA46" i="2"/>
  <c r="X47" i="2" s="1"/>
  <c r="Z47" i="2" s="1"/>
  <c r="BG15" i="2"/>
  <c r="AZ15" i="2"/>
  <c r="J49" i="2"/>
  <c r="BM49" i="2"/>
  <c r="BD48" i="2"/>
  <c r="N48" i="2"/>
  <c r="AN48" i="2"/>
  <c r="AO48" i="2" s="1"/>
  <c r="AP48" i="2" s="1"/>
  <c r="AF17" i="2"/>
  <c r="AH17" i="2" s="1"/>
  <c r="AI16" i="2"/>
  <c r="AJ16" i="2" s="1"/>
  <c r="O48" i="2"/>
  <c r="Q48" i="2" s="1"/>
  <c r="U47" i="2"/>
  <c r="BT47" i="2"/>
  <c r="BW47" i="2"/>
  <c r="BI47" i="2" s="1"/>
  <c r="I49" i="2"/>
  <c r="BS48" i="2"/>
  <c r="BV48" i="2"/>
  <c r="AC46" i="2" l="1"/>
  <c r="AV46" i="2" s="1"/>
  <c r="AW46" i="2" s="1"/>
  <c r="AX46" i="2" s="1"/>
  <c r="BG16" i="2"/>
  <c r="AZ16" i="2"/>
  <c r="BP49" i="2"/>
  <c r="BE47" i="2"/>
  <c r="AR47" i="2"/>
  <c r="AS47" i="2" s="1"/>
  <c r="AT47" i="2" s="1"/>
  <c r="W47" i="2"/>
  <c r="AB47" i="2" s="1"/>
  <c r="BO47" i="2" s="1"/>
  <c r="BR47" i="2" s="1"/>
  <c r="AF18" i="2"/>
  <c r="AH18" i="2" s="1"/>
  <c r="AI17" i="2"/>
  <c r="AJ17" i="2" s="1"/>
  <c r="T48" i="2"/>
  <c r="BN48" i="2" s="1"/>
  <c r="F50" i="2"/>
  <c r="H50" i="2" s="1"/>
  <c r="K50" i="2" s="1"/>
  <c r="L49" i="2"/>
  <c r="BF46" i="2" l="1"/>
  <c r="AE46" i="2"/>
  <c r="S48" i="2"/>
  <c r="U48" i="2" s="1"/>
  <c r="BU47" i="2"/>
  <c r="BX47" i="2"/>
  <c r="BJ47" i="2" s="1"/>
  <c r="AF19" i="2"/>
  <c r="AH19" i="2" s="1"/>
  <c r="AI18" i="2"/>
  <c r="AJ18" i="2" s="1"/>
  <c r="I50" i="2"/>
  <c r="BV49" i="2"/>
  <c r="BS49" i="2"/>
  <c r="BD49" i="2"/>
  <c r="AN49" i="2"/>
  <c r="AO49" i="2" s="1"/>
  <c r="AP49" i="2" s="1"/>
  <c r="N49" i="2"/>
  <c r="BQ48" i="2"/>
  <c r="AA47" i="2"/>
  <c r="AZ17" i="2"/>
  <c r="BG17" i="2"/>
  <c r="J50" i="2"/>
  <c r="BM50" i="2"/>
  <c r="R48" i="2"/>
  <c r="O49" i="2" l="1"/>
  <c r="Q49" i="2" s="1"/>
  <c r="T49" i="2" s="1"/>
  <c r="BN49" i="2" s="1"/>
  <c r="BG18" i="2"/>
  <c r="AZ18" i="2"/>
  <c r="BT48" i="2"/>
  <c r="BW48" i="2"/>
  <c r="BI48" i="2" s="1"/>
  <c r="AF20" i="2"/>
  <c r="AH20" i="2" s="1"/>
  <c r="AI19" i="2"/>
  <c r="AJ19" i="2" s="1"/>
  <c r="BP50" i="2"/>
  <c r="F51" i="2"/>
  <c r="H51" i="2" s="1"/>
  <c r="K51" i="2" s="1"/>
  <c r="I51" i="2" s="1"/>
  <c r="L50" i="2"/>
  <c r="AC47" i="2"/>
  <c r="X48" i="2"/>
  <c r="Z48" i="2" s="1"/>
  <c r="AR48" i="2"/>
  <c r="AS48" i="2" s="1"/>
  <c r="AT48" i="2" s="1"/>
  <c r="BE48" i="2"/>
  <c r="W48" i="2"/>
  <c r="AB48" i="2" l="1"/>
  <c r="BO48" i="2" s="1"/>
  <c r="BR48" i="2" s="1"/>
  <c r="BU48" i="2" s="1"/>
  <c r="BG19" i="2"/>
  <c r="AZ19" i="2"/>
  <c r="BF47" i="2"/>
  <c r="AV47" i="2"/>
  <c r="AW47" i="2" s="1"/>
  <c r="AX47" i="2" s="1"/>
  <c r="AE47" i="2"/>
  <c r="S49" i="2"/>
  <c r="BS50" i="2"/>
  <c r="BV50" i="2"/>
  <c r="AF21" i="2"/>
  <c r="AH21" i="2" s="1"/>
  <c r="AI20" i="2"/>
  <c r="AJ20" i="2" s="1"/>
  <c r="R49" i="2"/>
  <c r="BD50" i="2"/>
  <c r="AN50" i="2"/>
  <c r="AO50" i="2" s="1"/>
  <c r="AP50" i="2" s="1"/>
  <c r="N50" i="2"/>
  <c r="BQ49" i="2"/>
  <c r="J51" i="2"/>
  <c r="BM51" i="2"/>
  <c r="BX48" i="2" l="1"/>
  <c r="BJ48" i="2" s="1"/>
  <c r="AA48" i="2"/>
  <c r="AC48" i="2" s="1"/>
  <c r="BG20" i="2"/>
  <c r="AZ20" i="2"/>
  <c r="AF22" i="2"/>
  <c r="AH22" i="2" s="1"/>
  <c r="AI21" i="2"/>
  <c r="AJ21" i="2" s="1"/>
  <c r="L51" i="2"/>
  <c r="F52" i="2"/>
  <c r="H52" i="2" s="1"/>
  <c r="BW49" i="2"/>
  <c r="BI49" i="2" s="1"/>
  <c r="BT49" i="2"/>
  <c r="T50" i="2"/>
  <c r="BP51" i="2"/>
  <c r="O50" i="2"/>
  <c r="Q50" i="2" s="1"/>
  <c r="U49" i="2"/>
  <c r="X49" i="2" l="1"/>
  <c r="Z49" i="2" s="1"/>
  <c r="R50" i="2"/>
  <c r="BE49" i="2"/>
  <c r="AR49" i="2"/>
  <c r="AS49" i="2" s="1"/>
  <c r="AT49" i="2" s="1"/>
  <c r="W49" i="2"/>
  <c r="K52" i="2"/>
  <c r="I52" i="2" s="1"/>
  <c r="AZ21" i="2"/>
  <c r="BG21" i="2"/>
  <c r="AN51" i="2"/>
  <c r="AO51" i="2" s="1"/>
  <c r="AP51" i="2" s="1"/>
  <c r="BD51" i="2"/>
  <c r="N51" i="2"/>
  <c r="AF23" i="2"/>
  <c r="AH23" i="2" s="1"/>
  <c r="AI22" i="2"/>
  <c r="AJ22" i="2" s="1"/>
  <c r="BF48" i="2"/>
  <c r="AV48" i="2"/>
  <c r="AW48" i="2" s="1"/>
  <c r="AX48" i="2" s="1"/>
  <c r="AE48" i="2"/>
  <c r="S50" i="2"/>
  <c r="BS51" i="2"/>
  <c r="BV51" i="2"/>
  <c r="BN50" i="2"/>
  <c r="AB49" i="2" l="1"/>
  <c r="BO49" i="2" s="1"/>
  <c r="BR49" i="2" s="1"/>
  <c r="BU49" i="2" s="1"/>
  <c r="BQ50" i="2"/>
  <c r="T51" i="2"/>
  <c r="O51" i="2"/>
  <c r="Q51" i="2" s="1"/>
  <c r="U50" i="2"/>
  <c r="AF24" i="2"/>
  <c r="AH24" i="2" s="1"/>
  <c r="AI23" i="2"/>
  <c r="AJ23" i="2" s="1"/>
  <c r="BG22" i="2"/>
  <c r="AZ22" i="2"/>
  <c r="J52" i="2"/>
  <c r="BM52" i="2"/>
  <c r="AA49" i="2" l="1"/>
  <c r="X50" i="2" s="1"/>
  <c r="Z50" i="2" s="1"/>
  <c r="BX49" i="2"/>
  <c r="BJ49" i="2" s="1"/>
  <c r="R51" i="2"/>
  <c r="BG23" i="2"/>
  <c r="AZ23" i="2"/>
  <c r="AF25" i="2"/>
  <c r="AH25" i="2" s="1"/>
  <c r="AI24" i="2"/>
  <c r="AJ24" i="2" s="1"/>
  <c r="F53" i="2"/>
  <c r="H53" i="2" s="1"/>
  <c r="L52" i="2"/>
  <c r="BP52" i="2"/>
  <c r="S51" i="2"/>
  <c r="BN51" i="2"/>
  <c r="BE50" i="2"/>
  <c r="AR50" i="2"/>
  <c r="AS50" i="2" s="1"/>
  <c r="AT50" i="2" s="1"/>
  <c r="W50" i="2"/>
  <c r="BT50" i="2"/>
  <c r="BW50" i="2"/>
  <c r="BI50" i="2" s="1"/>
  <c r="AC49" i="2" l="1"/>
  <c r="AE49" i="2" s="1"/>
  <c r="AB50" i="2"/>
  <c r="BO50" i="2" s="1"/>
  <c r="BR50" i="2" s="1"/>
  <c r="BU50" i="2" s="1"/>
  <c r="BQ51" i="2"/>
  <c r="BG24" i="2"/>
  <c r="AZ24" i="2"/>
  <c r="O52" i="2"/>
  <c r="Q52" i="2" s="1"/>
  <c r="U51" i="2"/>
  <c r="K53" i="2"/>
  <c r="AF26" i="2"/>
  <c r="AH26" i="2" s="1"/>
  <c r="AI25" i="2"/>
  <c r="AJ25" i="2" s="1"/>
  <c r="BD52" i="2"/>
  <c r="AN52" i="2"/>
  <c r="AO52" i="2" s="1"/>
  <c r="AP52" i="2" s="1"/>
  <c r="N52" i="2"/>
  <c r="BS52" i="2"/>
  <c r="BV52" i="2"/>
  <c r="AV49" i="2" l="1"/>
  <c r="AW49" i="2" s="1"/>
  <c r="AX49" i="2" s="1"/>
  <c r="BF49" i="2"/>
  <c r="AA50" i="2"/>
  <c r="AC50" i="2" s="1"/>
  <c r="BX50" i="2"/>
  <c r="BJ50" i="2" s="1"/>
  <c r="BG25" i="2"/>
  <c r="AZ25" i="2"/>
  <c r="J53" i="2"/>
  <c r="BM53" i="2"/>
  <c r="AF27" i="2"/>
  <c r="AH27" i="2" s="1"/>
  <c r="AI26" i="2"/>
  <c r="AJ26" i="2" s="1"/>
  <c r="T52" i="2"/>
  <c r="BN52" i="2" s="1"/>
  <c r="BE51" i="2"/>
  <c r="AR51" i="2"/>
  <c r="AS51" i="2" s="1"/>
  <c r="AT51" i="2" s="1"/>
  <c r="W51" i="2"/>
  <c r="I53" i="2"/>
  <c r="BT51" i="2"/>
  <c r="BW51" i="2"/>
  <c r="BI51" i="2" s="1"/>
  <c r="X51" i="2" l="1"/>
  <c r="Z51" i="2" s="1"/>
  <c r="AB51" i="2" s="1"/>
  <c r="S52" i="2"/>
  <c r="O53" i="2" s="1"/>
  <c r="Q53" i="2" s="1"/>
  <c r="BG26" i="2"/>
  <c r="AZ26" i="2"/>
  <c r="F54" i="2"/>
  <c r="H54" i="2" s="1"/>
  <c r="K54" i="2" s="1"/>
  <c r="L53" i="2"/>
  <c r="BP53" i="2"/>
  <c r="BQ52" i="2"/>
  <c r="BF50" i="2"/>
  <c r="AV50" i="2"/>
  <c r="AW50" i="2" s="1"/>
  <c r="AX50" i="2" s="1"/>
  <c r="AE50" i="2"/>
  <c r="R52" i="2"/>
  <c r="AF28" i="2"/>
  <c r="AH28" i="2" s="1"/>
  <c r="AI27" i="2"/>
  <c r="AJ27" i="2" s="1"/>
  <c r="U52" i="2" l="1"/>
  <c r="BE52" i="2" s="1"/>
  <c r="BO51" i="2"/>
  <c r="BR51" i="2" s="1"/>
  <c r="BX51" i="2" s="1"/>
  <c r="BJ51" i="2" s="1"/>
  <c r="AA51" i="2"/>
  <c r="AC51" i="2" s="1"/>
  <c r="I54" i="2"/>
  <c r="BG27" i="2"/>
  <c r="AZ27" i="2"/>
  <c r="BT52" i="2"/>
  <c r="BW52" i="2"/>
  <c r="BI52" i="2" s="1"/>
  <c r="AF29" i="2"/>
  <c r="AH29" i="2" s="1"/>
  <c r="AI28" i="2"/>
  <c r="AJ28" i="2" s="1"/>
  <c r="BD53" i="2"/>
  <c r="AN53" i="2"/>
  <c r="AO53" i="2" s="1"/>
  <c r="AP53" i="2" s="1"/>
  <c r="N53" i="2"/>
  <c r="BS53" i="2"/>
  <c r="BV53" i="2"/>
  <c r="J54" i="2"/>
  <c r="BM54" i="2"/>
  <c r="AR52" i="2" l="1"/>
  <c r="AS52" i="2" s="1"/>
  <c r="AT52" i="2" s="1"/>
  <c r="W52" i="2"/>
  <c r="X52" i="2"/>
  <c r="Z52" i="2" s="1"/>
  <c r="BU51" i="2"/>
  <c r="T53" i="2"/>
  <c r="S53" i="2" s="1"/>
  <c r="AF30" i="2"/>
  <c r="AH30" i="2" s="1"/>
  <c r="AI29" i="2"/>
  <c r="AJ29" i="2" s="1"/>
  <c r="BF51" i="2"/>
  <c r="AV51" i="2"/>
  <c r="AW51" i="2" s="1"/>
  <c r="AX51" i="2" s="1"/>
  <c r="AE51" i="2"/>
  <c r="BG28" i="2"/>
  <c r="AZ28" i="2"/>
  <c r="BP54" i="2"/>
  <c r="F55" i="2"/>
  <c r="H55" i="2" s="1"/>
  <c r="L54" i="2"/>
  <c r="AB52" i="2" l="1"/>
  <c r="BO52" i="2" s="1"/>
  <c r="BR52" i="2" s="1"/>
  <c r="BU52" i="2" s="1"/>
  <c r="BG29" i="2"/>
  <c r="AZ29" i="2"/>
  <c r="AF31" i="2"/>
  <c r="AH31" i="2" s="1"/>
  <c r="AI30" i="2"/>
  <c r="AJ30" i="2" s="1"/>
  <c r="O54" i="2"/>
  <c r="Q54" i="2" s="1"/>
  <c r="U53" i="2"/>
  <c r="K55" i="2"/>
  <c r="I55" i="2" s="1"/>
  <c r="BD54" i="2"/>
  <c r="AN54" i="2"/>
  <c r="AO54" i="2" s="1"/>
  <c r="AP54" i="2" s="1"/>
  <c r="N54" i="2"/>
  <c r="BS54" i="2"/>
  <c r="BV54" i="2"/>
  <c r="BN53" i="2"/>
  <c r="R53" i="2"/>
  <c r="AA52" i="2" l="1"/>
  <c r="BX52" i="2"/>
  <c r="BJ52" i="2" s="1"/>
  <c r="BE53" i="2"/>
  <c r="AR53" i="2"/>
  <c r="AS53" i="2" s="1"/>
  <c r="AT53" i="2" s="1"/>
  <c r="W53" i="2"/>
  <c r="BG30" i="2"/>
  <c r="AZ30" i="2"/>
  <c r="BQ53" i="2"/>
  <c r="T54" i="2"/>
  <c r="BN54" i="2" s="1"/>
  <c r="J55" i="2"/>
  <c r="BM55" i="2"/>
  <c r="AF32" i="2"/>
  <c r="AI31" i="2"/>
  <c r="AJ31" i="2" s="1"/>
  <c r="X53" i="2" l="1"/>
  <c r="Z53" i="2" s="1"/>
  <c r="AB53" i="2" s="1"/>
  <c r="BO53" i="2" s="1"/>
  <c r="BR53" i="2" s="1"/>
  <c r="AC52" i="2"/>
  <c r="AZ31" i="2"/>
  <c r="BG31" i="2"/>
  <c r="BQ54" i="2"/>
  <c r="R54" i="2"/>
  <c r="BP55" i="2"/>
  <c r="F56" i="2"/>
  <c r="H56" i="2" s="1"/>
  <c r="L55" i="2"/>
  <c r="S54" i="2"/>
  <c r="BT53" i="2"/>
  <c r="BW53" i="2"/>
  <c r="BI53" i="2" s="1"/>
  <c r="BU53" i="2" l="1"/>
  <c r="BX53" i="2"/>
  <c r="BJ53" i="2" s="1"/>
  <c r="AA53" i="2"/>
  <c r="AC53" i="2" s="1"/>
  <c r="BF52" i="2"/>
  <c r="AE52" i="2"/>
  <c r="AV52" i="2"/>
  <c r="AW52" i="2" s="1"/>
  <c r="AX52" i="2" s="1"/>
  <c r="K56" i="2"/>
  <c r="I56" i="2" s="1"/>
  <c r="BW54" i="2"/>
  <c r="BI54" i="2" s="1"/>
  <c r="BT54" i="2"/>
  <c r="U54" i="2"/>
  <c r="O55" i="2"/>
  <c r="Q55" i="2" s="1"/>
  <c r="AN55" i="2"/>
  <c r="AO55" i="2" s="1"/>
  <c r="AP55" i="2" s="1"/>
  <c r="N55" i="2"/>
  <c r="BD55" i="2"/>
  <c r="BV55" i="2"/>
  <c r="BS55" i="2"/>
  <c r="X54" i="2" l="1"/>
  <c r="Z54" i="2" s="1"/>
  <c r="J56" i="2"/>
  <c r="BM56" i="2"/>
  <c r="BE54" i="2"/>
  <c r="AR54" i="2"/>
  <c r="AS54" i="2" s="1"/>
  <c r="AT54" i="2" s="1"/>
  <c r="W54" i="2"/>
  <c r="T55" i="2"/>
  <c r="BN55" i="2" s="1"/>
  <c r="BF53" i="2"/>
  <c r="AV53" i="2"/>
  <c r="AW53" i="2" s="1"/>
  <c r="AX53" i="2" s="1"/>
  <c r="AE53" i="2"/>
  <c r="AB54" i="2" l="1"/>
  <c r="BO54" i="2" s="1"/>
  <c r="BR54" i="2" s="1"/>
  <c r="BU54" i="2" s="1"/>
  <c r="BQ55" i="2"/>
  <c r="BP56" i="2"/>
  <c r="F57" i="2"/>
  <c r="H57" i="2" s="1"/>
  <c r="L56" i="2"/>
  <c r="S55" i="2"/>
  <c r="R55" i="2"/>
  <c r="AA54" i="2" l="1"/>
  <c r="X55" i="2" s="1"/>
  <c r="Z55" i="2" s="1"/>
  <c r="BX54" i="2"/>
  <c r="BJ54" i="2" s="1"/>
  <c r="O56" i="2"/>
  <c r="Q56" i="2" s="1"/>
  <c r="U55" i="2"/>
  <c r="K57" i="2"/>
  <c r="I57" i="2" s="1"/>
  <c r="BD56" i="2"/>
  <c r="AN56" i="2"/>
  <c r="AO56" i="2" s="1"/>
  <c r="AP56" i="2" s="1"/>
  <c r="N56" i="2"/>
  <c r="BS56" i="2"/>
  <c r="BV56" i="2"/>
  <c r="BT55" i="2"/>
  <c r="BW55" i="2"/>
  <c r="BI55" i="2" s="1"/>
  <c r="AC54" i="2" l="1"/>
  <c r="BF54" i="2" s="1"/>
  <c r="T56" i="2"/>
  <c r="S56" i="2" s="1"/>
  <c r="BE55" i="2"/>
  <c r="AR55" i="2"/>
  <c r="AS55" i="2" s="1"/>
  <c r="AT55" i="2" s="1"/>
  <c r="W55" i="2"/>
  <c r="AB55" i="2" s="1"/>
  <c r="BO55" i="2" s="1"/>
  <c r="BR55" i="2" s="1"/>
  <c r="J57" i="2"/>
  <c r="BM57" i="2"/>
  <c r="AV54" i="2" l="1"/>
  <c r="AW54" i="2" s="1"/>
  <c r="AX54" i="2" s="1"/>
  <c r="AE54" i="2"/>
  <c r="U56" i="2"/>
  <c r="O57" i="2"/>
  <c r="Q57" i="2" s="1"/>
  <c r="AA55" i="2"/>
  <c r="BU55" i="2"/>
  <c r="BX55" i="2"/>
  <c r="BJ55" i="2" s="1"/>
  <c r="F58" i="2"/>
  <c r="H58" i="2" s="1"/>
  <c r="L57" i="2"/>
  <c r="BN56" i="2"/>
  <c r="R56" i="2"/>
  <c r="BP57" i="2"/>
  <c r="BV57" i="2" l="1"/>
  <c r="BS57" i="2"/>
  <c r="K58" i="2"/>
  <c r="I58" i="2" s="1"/>
  <c r="X56" i="2"/>
  <c r="Z56" i="2" s="1"/>
  <c r="AC55" i="2"/>
  <c r="BD57" i="2"/>
  <c r="AN57" i="2"/>
  <c r="AO57" i="2" s="1"/>
  <c r="AP57" i="2" s="1"/>
  <c r="N57" i="2"/>
  <c r="BQ56" i="2"/>
  <c r="BE56" i="2"/>
  <c r="AR56" i="2"/>
  <c r="AS56" i="2" s="1"/>
  <c r="AT56" i="2" s="1"/>
  <c r="W56" i="2"/>
  <c r="AB56" i="2" l="1"/>
  <c r="BO56" i="2" s="1"/>
  <c r="BR56" i="2" s="1"/>
  <c r="BX56" i="2" s="1"/>
  <c r="BJ56" i="2" s="1"/>
  <c r="BT56" i="2"/>
  <c r="BW56" i="2"/>
  <c r="BI56" i="2" s="1"/>
  <c r="J58" i="2"/>
  <c r="BM58" i="2"/>
  <c r="BF55" i="2"/>
  <c r="AV55" i="2"/>
  <c r="AW55" i="2" s="1"/>
  <c r="AX55" i="2" s="1"/>
  <c r="AE55" i="2"/>
  <c r="T57" i="2"/>
  <c r="S57" i="2" s="1"/>
  <c r="AA56" i="2" l="1"/>
  <c r="AC56" i="2" s="1"/>
  <c r="BU56" i="2"/>
  <c r="O58" i="2"/>
  <c r="Q58" i="2" s="1"/>
  <c r="U57" i="2"/>
  <c r="L58" i="2"/>
  <c r="F59" i="2"/>
  <c r="H59" i="2" s="1"/>
  <c r="BN57" i="2"/>
  <c r="R57" i="2"/>
  <c r="BP58" i="2"/>
  <c r="X57" i="2" l="1"/>
  <c r="Z57" i="2" s="1"/>
  <c r="BD58" i="2"/>
  <c r="AN58" i="2"/>
  <c r="AO58" i="2" s="1"/>
  <c r="AP58" i="2" s="1"/>
  <c r="N58" i="2"/>
  <c r="BF56" i="2"/>
  <c r="AV56" i="2"/>
  <c r="AW56" i="2" s="1"/>
  <c r="AX56" i="2" s="1"/>
  <c r="AE56" i="2"/>
  <c r="AR57" i="2"/>
  <c r="AS57" i="2" s="1"/>
  <c r="AT57" i="2" s="1"/>
  <c r="BE57" i="2"/>
  <c r="W57" i="2"/>
  <c r="K59" i="2"/>
  <c r="BS58" i="2"/>
  <c r="BV58" i="2"/>
  <c r="BQ57" i="2"/>
  <c r="J59" i="2" l="1"/>
  <c r="BM59" i="2"/>
  <c r="T58" i="2"/>
  <c r="BW57" i="2"/>
  <c r="BI57" i="2" s="1"/>
  <c r="BT57" i="2"/>
  <c r="I59" i="2"/>
  <c r="AB57" i="2"/>
  <c r="BO57" i="2" s="1"/>
  <c r="BR57" i="2" s="1"/>
  <c r="AA57" i="2" l="1"/>
  <c r="BN58" i="2"/>
  <c r="R58" i="2"/>
  <c r="BP59" i="2"/>
  <c r="BU57" i="2"/>
  <c r="BX57" i="2"/>
  <c r="BJ57" i="2" s="1"/>
  <c r="S58" i="2"/>
  <c r="F60" i="2"/>
  <c r="H60" i="2" s="1"/>
  <c r="K60" i="2" s="1"/>
  <c r="L59" i="2"/>
  <c r="J60" i="2" l="1"/>
  <c r="BM60" i="2"/>
  <c r="BQ58" i="2"/>
  <c r="BD59" i="2"/>
  <c r="AN59" i="2"/>
  <c r="AO59" i="2" s="1"/>
  <c r="AP59" i="2" s="1"/>
  <c r="N59" i="2"/>
  <c r="O59" i="2"/>
  <c r="Q59" i="2" s="1"/>
  <c r="U58" i="2"/>
  <c r="I60" i="2"/>
  <c r="BS59" i="2"/>
  <c r="BV59" i="2"/>
  <c r="X58" i="2"/>
  <c r="Z58" i="2" s="1"/>
  <c r="AC57" i="2"/>
  <c r="BP60" i="2" l="1"/>
  <c r="T59" i="2"/>
  <c r="BN59" i="2" s="1"/>
  <c r="BF57" i="2"/>
  <c r="AV57" i="2"/>
  <c r="AW57" i="2" s="1"/>
  <c r="AX57" i="2" s="1"/>
  <c r="AE57" i="2"/>
  <c r="BE58" i="2"/>
  <c r="AR58" i="2"/>
  <c r="AS58" i="2" s="1"/>
  <c r="AT58" i="2" s="1"/>
  <c r="W58" i="2"/>
  <c r="AB58" i="2" s="1"/>
  <c r="BO58" i="2" s="1"/>
  <c r="BR58" i="2" s="1"/>
  <c r="F61" i="2"/>
  <c r="H61" i="2" s="1"/>
  <c r="K61" i="2" s="1"/>
  <c r="L60" i="2"/>
  <c r="BT58" i="2"/>
  <c r="BW58" i="2"/>
  <c r="BI58" i="2" s="1"/>
  <c r="S59" i="2" l="1"/>
  <c r="U59" i="2" s="1"/>
  <c r="J61" i="2"/>
  <c r="BM61" i="2"/>
  <c r="I61" i="2"/>
  <c r="BD60" i="2"/>
  <c r="AN60" i="2"/>
  <c r="AO60" i="2" s="1"/>
  <c r="AP60" i="2" s="1"/>
  <c r="N60" i="2"/>
  <c r="AA58" i="2"/>
  <c r="BS60" i="2"/>
  <c r="BV60" i="2"/>
  <c r="BU58" i="2"/>
  <c r="BX58" i="2"/>
  <c r="BJ58" i="2" s="1"/>
  <c r="BQ59" i="2"/>
  <c r="R59" i="2"/>
  <c r="O60" i="2" l="1"/>
  <c r="Q60" i="2" s="1"/>
  <c r="F62" i="2"/>
  <c r="H62" i="2" s="1"/>
  <c r="K62" i="2" s="1"/>
  <c r="L61" i="2"/>
  <c r="AC58" i="2"/>
  <c r="X59" i="2"/>
  <c r="Z59" i="2" s="1"/>
  <c r="BT59" i="2"/>
  <c r="BW59" i="2"/>
  <c r="BI59" i="2" s="1"/>
  <c r="BE59" i="2"/>
  <c r="AR59" i="2"/>
  <c r="AS59" i="2" s="1"/>
  <c r="AT59" i="2" s="1"/>
  <c r="W59" i="2"/>
  <c r="T60" i="2"/>
  <c r="BP61" i="2"/>
  <c r="BN60" i="2" l="1"/>
  <c r="BQ60" i="2" s="1"/>
  <c r="S60" i="2"/>
  <c r="O61" i="2" s="1"/>
  <c r="Q61" i="2" s="1"/>
  <c r="AB59" i="2"/>
  <c r="BO59" i="2" s="1"/>
  <c r="BR59" i="2" s="1"/>
  <c r="BX59" i="2" s="1"/>
  <c r="BJ59" i="2" s="1"/>
  <c r="R60" i="2"/>
  <c r="I62" i="2"/>
  <c r="BF58" i="2"/>
  <c r="AV58" i="2"/>
  <c r="AW58" i="2" s="1"/>
  <c r="AX58" i="2" s="1"/>
  <c r="AE58" i="2"/>
  <c r="BS61" i="2"/>
  <c r="BV61" i="2"/>
  <c r="BD61" i="2"/>
  <c r="AN61" i="2"/>
  <c r="AO61" i="2" s="1"/>
  <c r="AP61" i="2" s="1"/>
  <c r="N61" i="2"/>
  <c r="J62" i="2"/>
  <c r="BM62" i="2"/>
  <c r="U60" i="2" l="1"/>
  <c r="AR60" i="2" s="1"/>
  <c r="AS60" i="2" s="1"/>
  <c r="AT60" i="2" s="1"/>
  <c r="AA59" i="2"/>
  <c r="AC59" i="2" s="1"/>
  <c r="BU59" i="2"/>
  <c r="BP62" i="2"/>
  <c r="T61" i="2"/>
  <c r="BN61" i="2" s="1"/>
  <c r="F63" i="2"/>
  <c r="H63" i="2" s="1"/>
  <c r="K63" i="2" s="1"/>
  <c r="L62" i="2"/>
  <c r="BW60" i="2"/>
  <c r="BI60" i="2" s="1"/>
  <c r="BT60" i="2"/>
  <c r="BE60" i="2" l="1"/>
  <c r="W60" i="2"/>
  <c r="X60" i="2"/>
  <c r="Z60" i="2" s="1"/>
  <c r="S61" i="2"/>
  <c r="U61" i="2" s="1"/>
  <c r="BV62" i="2"/>
  <c r="BS62" i="2"/>
  <c r="J63" i="2"/>
  <c r="BM63" i="2"/>
  <c r="BF59" i="2"/>
  <c r="AV59" i="2"/>
  <c r="AW59" i="2" s="1"/>
  <c r="AX59" i="2" s="1"/>
  <c r="AE59" i="2"/>
  <c r="BD62" i="2"/>
  <c r="AN62" i="2"/>
  <c r="AO62" i="2" s="1"/>
  <c r="AP62" i="2" s="1"/>
  <c r="N62" i="2"/>
  <c r="BQ61" i="2"/>
  <c r="I63" i="2"/>
  <c r="R61" i="2"/>
  <c r="AB60" i="2" l="1"/>
  <c r="BO60" i="2" s="1"/>
  <c r="BR60" i="2" s="1"/>
  <c r="BX60" i="2" s="1"/>
  <c r="BJ60" i="2" s="1"/>
  <c r="O62" i="2"/>
  <c r="Q62" i="2" s="1"/>
  <c r="BP63" i="2"/>
  <c r="BE61" i="2"/>
  <c r="AR61" i="2"/>
  <c r="AS61" i="2" s="1"/>
  <c r="AT61" i="2" s="1"/>
  <c r="W61" i="2"/>
  <c r="L63" i="2"/>
  <c r="F64" i="2"/>
  <c r="H64" i="2" s="1"/>
  <c r="K64" i="2" s="1"/>
  <c r="T62" i="2"/>
  <c r="BT61" i="2"/>
  <c r="BW61" i="2"/>
  <c r="BI61" i="2" s="1"/>
  <c r="AA60" i="2" l="1"/>
  <c r="X61" i="2" s="1"/>
  <c r="Z61" i="2" s="1"/>
  <c r="AB61" i="2" s="1"/>
  <c r="BO61" i="2" s="1"/>
  <c r="BR61" i="2" s="1"/>
  <c r="BU61" i="2" s="1"/>
  <c r="BU60" i="2"/>
  <c r="BN62" i="2"/>
  <c r="BQ62" i="2" s="1"/>
  <c r="R62" i="2"/>
  <c r="S62" i="2"/>
  <c r="U62" i="2" s="1"/>
  <c r="BD63" i="2"/>
  <c r="AN63" i="2"/>
  <c r="AO63" i="2" s="1"/>
  <c r="AP63" i="2" s="1"/>
  <c r="N63" i="2"/>
  <c r="I64" i="2"/>
  <c r="BV63" i="2"/>
  <c r="BS63" i="2"/>
  <c r="J64" i="2"/>
  <c r="BM64" i="2"/>
  <c r="AC60" i="2" l="1"/>
  <c r="AV60" i="2" s="1"/>
  <c r="AW60" i="2" s="1"/>
  <c r="AX60" i="2" s="1"/>
  <c r="O63" i="2"/>
  <c r="Q63" i="2" s="1"/>
  <c r="AA61" i="2"/>
  <c r="X62" i="2" s="1"/>
  <c r="Z62" i="2" s="1"/>
  <c r="BX61" i="2"/>
  <c r="BJ61" i="2" s="1"/>
  <c r="BP64" i="2"/>
  <c r="BT62" i="2"/>
  <c r="BW62" i="2"/>
  <c r="BI62" i="2" s="1"/>
  <c r="AR62" i="2"/>
  <c r="AS62" i="2" s="1"/>
  <c r="AT62" i="2" s="1"/>
  <c r="BE62" i="2"/>
  <c r="W62" i="2"/>
  <c r="F65" i="2"/>
  <c r="L64" i="2"/>
  <c r="T63" i="2"/>
  <c r="BN63" i="2" l="1"/>
  <c r="BQ63" i="2" s="1"/>
  <c r="BF60" i="2"/>
  <c r="AE60" i="2"/>
  <c r="AC61" i="2"/>
  <c r="BF61" i="2" s="1"/>
  <c r="AB62" i="2"/>
  <c r="BO62" i="2" s="1"/>
  <c r="BR62" i="2" s="1"/>
  <c r="BX62" i="2" s="1"/>
  <c r="BJ62" i="2" s="1"/>
  <c r="BD64" i="2"/>
  <c r="N64" i="2"/>
  <c r="AN64" i="2"/>
  <c r="AO64" i="2" s="1"/>
  <c r="AP64" i="2" s="1"/>
  <c r="BV64" i="2"/>
  <c r="BS64" i="2"/>
  <c r="S63" i="2"/>
  <c r="H65" i="2"/>
  <c r="F66" i="2"/>
  <c r="R63" i="2"/>
  <c r="AE61" i="2" l="1"/>
  <c r="AV61" i="2"/>
  <c r="AW61" i="2" s="1"/>
  <c r="AX61" i="2" s="1"/>
  <c r="BU62" i="2"/>
  <c r="AA62" i="2"/>
  <c r="X63" i="2" s="1"/>
  <c r="Z63" i="2" s="1"/>
  <c r="H66" i="2"/>
  <c r="K65" i="2"/>
  <c r="I65" i="2" s="1"/>
  <c r="T64" i="2"/>
  <c r="BT63" i="2"/>
  <c r="BW63" i="2"/>
  <c r="BI63" i="2" s="1"/>
  <c r="O64" i="2"/>
  <c r="Q64" i="2" s="1"/>
  <c r="U63" i="2"/>
  <c r="AC62" i="2" l="1"/>
  <c r="BF62" i="2" s="1"/>
  <c r="R64" i="2"/>
  <c r="BN64" i="2"/>
  <c r="BQ64" i="2" s="1"/>
  <c r="BE63" i="2"/>
  <c r="AR63" i="2"/>
  <c r="AS63" i="2" s="1"/>
  <c r="AT63" i="2" s="1"/>
  <c r="W63" i="2"/>
  <c r="AB63" i="2" s="1"/>
  <c r="BO63" i="2" s="1"/>
  <c r="BR63" i="2" s="1"/>
  <c r="J65" i="2"/>
  <c r="K66" i="2"/>
  <c r="L55" i="3" s="1"/>
  <c r="BM65" i="2"/>
  <c r="S64" i="2"/>
  <c r="AE62" i="2" l="1"/>
  <c r="AV62" i="2"/>
  <c r="AW62" i="2" s="1"/>
  <c r="AX62" i="2" s="1"/>
  <c r="K67" i="2"/>
  <c r="O65" i="2"/>
  <c r="U64" i="2"/>
  <c r="L65" i="2"/>
  <c r="J66" i="2"/>
  <c r="K55" i="3" s="1"/>
  <c r="BU63" i="2"/>
  <c r="BX63" i="2"/>
  <c r="BJ63" i="2" s="1"/>
  <c r="AA63" i="2"/>
  <c r="BW64" i="2"/>
  <c r="BI64" i="2" s="1"/>
  <c r="BT64" i="2"/>
  <c r="BP65" i="2"/>
  <c r="BV65" i="2" l="1"/>
  <c r="BS65" i="2"/>
  <c r="BE64" i="2"/>
  <c r="AR64" i="2"/>
  <c r="AS64" i="2" s="1"/>
  <c r="AT64" i="2" s="1"/>
  <c r="W64" i="2"/>
  <c r="Q65" i="2"/>
  <c r="O66" i="2"/>
  <c r="J67" i="2"/>
  <c r="X64" i="2"/>
  <c r="Z64" i="2" s="1"/>
  <c r="AC63" i="2"/>
  <c r="BD65" i="2"/>
  <c r="AN65" i="2"/>
  <c r="AO65" i="2" s="1"/>
  <c r="AP65" i="2" s="1"/>
  <c r="N65" i="2"/>
  <c r="L66" i="2"/>
  <c r="M55" i="3" s="1"/>
  <c r="AB64" i="2" l="1"/>
  <c r="BO64" i="2" s="1"/>
  <c r="BR64" i="2" s="1"/>
  <c r="BX64" i="2" s="1"/>
  <c r="BJ64" i="2" s="1"/>
  <c r="L67" i="2"/>
  <c r="BF63" i="2"/>
  <c r="AV63" i="2"/>
  <c r="AW63" i="2" s="1"/>
  <c r="AX63" i="2" s="1"/>
  <c r="AE63" i="2"/>
  <c r="Q66" i="2"/>
  <c r="T65" i="2"/>
  <c r="N66" i="2"/>
  <c r="BU64" i="2" l="1"/>
  <c r="AA64" i="2"/>
  <c r="X65" i="2" s="1"/>
  <c r="T66" i="2"/>
  <c r="T67" i="2" s="1"/>
  <c r="BN65" i="2"/>
  <c r="S65" i="2"/>
  <c r="R65" i="2"/>
  <c r="R66" i="2" s="1"/>
  <c r="AC64" i="2" l="1"/>
  <c r="BF64" i="2" s="1"/>
  <c r="BQ65" i="2"/>
  <c r="U65" i="2"/>
  <c r="S66" i="2"/>
  <c r="X66" i="2"/>
  <c r="Z65" i="2"/>
  <c r="AE64" i="2" l="1"/>
  <c r="AV64" i="2"/>
  <c r="AW64" i="2" s="1"/>
  <c r="AX64" i="2" s="1"/>
  <c r="BE65" i="2"/>
  <c r="AR65" i="2"/>
  <c r="AS65" i="2" s="1"/>
  <c r="AT65" i="2" s="1"/>
  <c r="U66" i="2"/>
  <c r="W65" i="2"/>
  <c r="AB65" i="2" s="1"/>
  <c r="S67" i="2"/>
  <c r="Z66" i="2"/>
  <c r="BT65" i="2"/>
  <c r="BW65" i="2"/>
  <c r="BI65" i="2" s="1"/>
  <c r="AB66" i="2" l="1"/>
  <c r="AB67" i="2" s="1"/>
  <c r="BO65" i="2"/>
  <c r="BR65" i="2" s="1"/>
  <c r="AA65" i="2"/>
  <c r="W66" i="2"/>
  <c r="U67" i="2"/>
  <c r="BX65" i="2" l="1"/>
  <c r="BJ65" i="2" s="1"/>
  <c r="BU65" i="2"/>
  <c r="AC65" i="2"/>
  <c r="AA66" i="2"/>
  <c r="AA67" i="2" s="1"/>
  <c r="BF65" i="2" l="1"/>
  <c r="AV65" i="2"/>
  <c r="AW65" i="2" s="1"/>
  <c r="AX65" i="2" s="1"/>
  <c r="AC66" i="2"/>
  <c r="AE65" i="2"/>
  <c r="AG64" i="2" l="1"/>
  <c r="AE66" i="2"/>
  <c r="AG61" i="2" s="1"/>
  <c r="AG32" i="2"/>
  <c r="AH32" i="2" s="1"/>
  <c r="AG33" i="2"/>
  <c r="AG34" i="2"/>
  <c r="AG35" i="2"/>
  <c r="AG36" i="2"/>
  <c r="AG37" i="2"/>
  <c r="AG38" i="2"/>
  <c r="AG39" i="2"/>
  <c r="AG40" i="2"/>
  <c r="AG41" i="2"/>
  <c r="AG42" i="2"/>
  <c r="AG44" i="2"/>
  <c r="AG43" i="2"/>
  <c r="AG46" i="2"/>
  <c r="AG48" i="2"/>
  <c r="AG50" i="2"/>
  <c r="AG52" i="2"/>
  <c r="AG54" i="2"/>
  <c r="AG56" i="2"/>
  <c r="AG58" i="2"/>
  <c r="AG62" i="2"/>
  <c r="AG60" i="2"/>
  <c r="AC67" i="2"/>
  <c r="AG49" i="2" l="1"/>
  <c r="AG65" i="2"/>
  <c r="AG55" i="2"/>
  <c r="AF33" i="2"/>
  <c r="AH33" i="2" s="1"/>
  <c r="AI32" i="2"/>
  <c r="AJ32" i="2" s="1"/>
  <c r="AG47" i="2"/>
  <c r="AG59" i="2"/>
  <c r="AG51" i="2"/>
  <c r="AG57" i="2"/>
  <c r="AG53" i="2"/>
  <c r="AG45" i="2"/>
  <c r="AG63" i="2"/>
  <c r="BG32" i="2" l="1"/>
  <c r="AZ32" i="2"/>
  <c r="AF34" i="2"/>
  <c r="AH34" i="2" s="1"/>
  <c r="AI33" i="2"/>
  <c r="AJ33" i="2" s="1"/>
  <c r="AF35" i="2" l="1"/>
  <c r="AH35" i="2" s="1"/>
  <c r="AI34" i="2"/>
  <c r="AJ34" i="2" s="1"/>
  <c r="BG33" i="2"/>
  <c r="AZ33" i="2"/>
  <c r="BG34" i="2" l="1"/>
  <c r="AZ34" i="2"/>
  <c r="AF36" i="2"/>
  <c r="AH36" i="2" s="1"/>
  <c r="AI35" i="2"/>
  <c r="AJ35" i="2" s="1"/>
  <c r="BG35" i="2" l="1"/>
  <c r="AZ35" i="2"/>
  <c r="AF37" i="2"/>
  <c r="AH37" i="2" s="1"/>
  <c r="AI36" i="2"/>
  <c r="AJ36" i="2" s="1"/>
  <c r="BG36" i="2" l="1"/>
  <c r="AZ36" i="2"/>
  <c r="AF38" i="2"/>
  <c r="AH38" i="2" s="1"/>
  <c r="AI37" i="2"/>
  <c r="AJ37" i="2" s="1"/>
  <c r="BG37" i="2" l="1"/>
  <c r="AZ37" i="2"/>
  <c r="AF39" i="2"/>
  <c r="AH39" i="2" s="1"/>
  <c r="AI38" i="2"/>
  <c r="AJ38" i="2" s="1"/>
  <c r="BG38" i="2" l="1"/>
  <c r="AZ38" i="2"/>
  <c r="AF40" i="2"/>
  <c r="AH40" i="2" s="1"/>
  <c r="AI39" i="2"/>
  <c r="AJ39" i="2" s="1"/>
  <c r="BG39" i="2" l="1"/>
  <c r="AZ39" i="2"/>
  <c r="AF41" i="2"/>
  <c r="AH41" i="2" s="1"/>
  <c r="AI40" i="2"/>
  <c r="AJ40" i="2" s="1"/>
  <c r="BG40" i="2" l="1"/>
  <c r="AZ40" i="2"/>
  <c r="AF42" i="2"/>
  <c r="AH42" i="2" s="1"/>
  <c r="AI41" i="2"/>
  <c r="AJ41" i="2" s="1"/>
  <c r="BG41" i="2" l="1"/>
  <c r="AZ41" i="2"/>
  <c r="AF43" i="2"/>
  <c r="AH43" i="2" s="1"/>
  <c r="AI42" i="2"/>
  <c r="AJ42" i="2" s="1"/>
  <c r="AF44" i="2" l="1"/>
  <c r="AH44" i="2" s="1"/>
  <c r="AI43" i="2"/>
  <c r="AJ43" i="2" s="1"/>
  <c r="BG42" i="2"/>
  <c r="AZ42" i="2"/>
  <c r="BG43" i="2" l="1"/>
  <c r="AZ43" i="2"/>
  <c r="AF45" i="2"/>
  <c r="AH45" i="2" s="1"/>
  <c r="AI44" i="2"/>
  <c r="AJ44" i="2" s="1"/>
  <c r="BG44" i="2" l="1"/>
  <c r="AZ44" i="2"/>
  <c r="AF46" i="2"/>
  <c r="AH46" i="2" s="1"/>
  <c r="AI45" i="2"/>
  <c r="AJ45" i="2" s="1"/>
  <c r="AZ45" i="2" l="1"/>
  <c r="BG45" i="2"/>
  <c r="AF47" i="2"/>
  <c r="AH47" i="2" s="1"/>
  <c r="AI46" i="2"/>
  <c r="AJ46" i="2" s="1"/>
  <c r="BG46" i="2" l="1"/>
  <c r="AZ46" i="2"/>
  <c r="AF48" i="2"/>
  <c r="AH48" i="2" s="1"/>
  <c r="AI47" i="2"/>
  <c r="AJ47" i="2" s="1"/>
  <c r="BG47" i="2" l="1"/>
  <c r="AZ47" i="2"/>
  <c r="AF49" i="2"/>
  <c r="AH49" i="2" s="1"/>
  <c r="AI48" i="2"/>
  <c r="AJ48" i="2" s="1"/>
  <c r="AF50" i="2" l="1"/>
  <c r="AH50" i="2" s="1"/>
  <c r="AI49" i="2"/>
  <c r="AJ49" i="2" s="1"/>
  <c r="BG48" i="2"/>
  <c r="AZ48" i="2"/>
  <c r="BG49" i="2" l="1"/>
  <c r="AZ49" i="2"/>
  <c r="AF51" i="2"/>
  <c r="AH51" i="2" s="1"/>
  <c r="AI50" i="2"/>
  <c r="AJ50" i="2" s="1"/>
  <c r="BG50" i="2" l="1"/>
  <c r="AZ50" i="2"/>
  <c r="AF52" i="2"/>
  <c r="AH52" i="2" s="1"/>
  <c r="AI51" i="2"/>
  <c r="AJ51" i="2" s="1"/>
  <c r="BG51" i="2" l="1"/>
  <c r="AZ51" i="2"/>
  <c r="AF53" i="2"/>
  <c r="AH53" i="2" s="1"/>
  <c r="AI52" i="2"/>
  <c r="AJ52" i="2" s="1"/>
  <c r="BG52" i="2" l="1"/>
  <c r="AZ52" i="2"/>
  <c r="AF54" i="2"/>
  <c r="AH54" i="2" s="1"/>
  <c r="AI53" i="2"/>
  <c r="AJ53" i="2" s="1"/>
  <c r="AZ53" i="2" l="1"/>
  <c r="BG53" i="2"/>
  <c r="AF55" i="2"/>
  <c r="AH55" i="2" s="1"/>
  <c r="AI54" i="2"/>
  <c r="AJ54" i="2" s="1"/>
  <c r="AF56" i="2" l="1"/>
  <c r="AH56" i="2" s="1"/>
  <c r="AI55" i="2"/>
  <c r="AJ55" i="2" s="1"/>
  <c r="BG54" i="2"/>
  <c r="AZ54" i="2"/>
  <c r="BG55" i="2" l="1"/>
  <c r="AZ55" i="2"/>
  <c r="AF57" i="2"/>
  <c r="AH57" i="2" s="1"/>
  <c r="AI56" i="2"/>
  <c r="AJ56" i="2" s="1"/>
  <c r="AZ56" i="2" l="1"/>
  <c r="BG56" i="2"/>
  <c r="AF58" i="2"/>
  <c r="AH58" i="2" s="1"/>
  <c r="AI57" i="2"/>
  <c r="AJ57" i="2" s="1"/>
  <c r="AF59" i="2" l="1"/>
  <c r="AH59" i="2" s="1"/>
  <c r="AI58" i="2"/>
  <c r="AJ58" i="2" s="1"/>
  <c r="AZ57" i="2"/>
  <c r="BG57" i="2"/>
  <c r="AF60" i="2" l="1"/>
  <c r="AH60" i="2" s="1"/>
  <c r="AI59" i="2"/>
  <c r="AJ59" i="2" s="1"/>
  <c r="BG58" i="2"/>
  <c r="AZ58" i="2"/>
  <c r="BG59" i="2" l="1"/>
  <c r="AZ59" i="2"/>
  <c r="AF61" i="2"/>
  <c r="AH61" i="2" s="1"/>
  <c r="AI60" i="2"/>
  <c r="AJ60" i="2" s="1"/>
  <c r="BG60" i="2" l="1"/>
  <c r="AZ60" i="2"/>
  <c r="AF62" i="2"/>
  <c r="AH62" i="2" s="1"/>
  <c r="AI61" i="2"/>
  <c r="AJ61" i="2" s="1"/>
  <c r="BG61" i="2" l="1"/>
  <c r="AZ61" i="2"/>
  <c r="AF63" i="2"/>
  <c r="AH63" i="2" s="1"/>
  <c r="AI62" i="2"/>
  <c r="AJ62" i="2" s="1"/>
  <c r="BG62" i="2" l="1"/>
  <c r="AZ62" i="2"/>
  <c r="AF64" i="2"/>
  <c r="AH64" i="2" s="1"/>
  <c r="AI63" i="2"/>
  <c r="AJ63" i="2" s="1"/>
  <c r="BG63" i="2" l="1"/>
  <c r="AZ63" i="2"/>
  <c r="AF65" i="2"/>
  <c r="AI64" i="2"/>
  <c r="AJ64" i="2" s="1"/>
  <c r="AF66" i="2" l="1"/>
  <c r="AH65" i="2"/>
  <c r="BG64" i="2"/>
  <c r="AZ64" i="2"/>
  <c r="AH66" i="2" l="1"/>
  <c r="AI65" i="2"/>
  <c r="AI66" i="2" s="1"/>
  <c r="AH67" i="2" l="1"/>
  <c r="AI67" i="2"/>
  <c r="AJ65" i="2"/>
  <c r="AZ65" i="2" l="1"/>
  <c r="BG65" i="2"/>
  <c r="AJ66" i="2"/>
  <c r="AJ67" i="2" s="1"/>
  <c r="AZ66" i="2" l="1"/>
  <c r="BA5" i="2" l="1"/>
  <c r="BA6" i="2"/>
  <c r="BB6" i="2" s="1"/>
  <c r="BA7" i="2"/>
  <c r="BB7" i="2" s="1"/>
  <c r="BA9" i="2"/>
  <c r="BB9" i="2" s="1"/>
  <c r="BA8" i="2"/>
  <c r="BB8" i="2" s="1"/>
  <c r="BA10" i="2"/>
  <c r="BB10" i="2" s="1"/>
  <c r="BA11" i="2"/>
  <c r="BB11" i="2" s="1"/>
  <c r="BA12" i="2"/>
  <c r="BB12" i="2" s="1"/>
  <c r="BA13" i="2"/>
  <c r="BB13" i="2" s="1"/>
  <c r="BA14" i="2"/>
  <c r="BB14" i="2" s="1"/>
  <c r="BA15" i="2"/>
  <c r="BB15" i="2" s="1"/>
  <c r="BA16" i="2"/>
  <c r="BB16" i="2" s="1"/>
  <c r="BA17" i="2"/>
  <c r="BB17" i="2" s="1"/>
  <c r="BA18" i="2"/>
  <c r="BB18" i="2" s="1"/>
  <c r="BA19" i="2"/>
  <c r="BB19" i="2" s="1"/>
  <c r="BA20" i="2"/>
  <c r="BB20" i="2" s="1"/>
  <c r="BA21" i="2"/>
  <c r="BB21" i="2" s="1"/>
  <c r="BA22" i="2"/>
  <c r="BB22" i="2" s="1"/>
  <c r="BA23" i="2"/>
  <c r="BB23" i="2" s="1"/>
  <c r="BA24" i="2"/>
  <c r="BB24" i="2" s="1"/>
  <c r="BA25" i="2"/>
  <c r="BB25" i="2" s="1"/>
  <c r="BA26" i="2"/>
  <c r="BB26" i="2" s="1"/>
  <c r="BA27" i="2"/>
  <c r="BB27" i="2" s="1"/>
  <c r="BA28" i="2"/>
  <c r="BB28" i="2" s="1"/>
  <c r="BA29" i="2"/>
  <c r="BB29" i="2" s="1"/>
  <c r="BA30" i="2"/>
  <c r="BB30" i="2" s="1"/>
  <c r="BA31" i="2"/>
  <c r="BB31" i="2" s="1"/>
  <c r="BA32" i="2"/>
  <c r="BB32" i="2" s="1"/>
  <c r="BA33" i="2"/>
  <c r="BB33" i="2" s="1"/>
  <c r="BA34" i="2"/>
  <c r="BB34" i="2" s="1"/>
  <c r="BA35" i="2"/>
  <c r="BB35" i="2" s="1"/>
  <c r="BA36" i="2"/>
  <c r="BB36" i="2" s="1"/>
  <c r="BA37" i="2"/>
  <c r="BB37" i="2" s="1"/>
  <c r="BA38" i="2"/>
  <c r="BB38" i="2" s="1"/>
  <c r="BA39" i="2"/>
  <c r="BB39" i="2" s="1"/>
  <c r="BA40" i="2"/>
  <c r="BB40" i="2" s="1"/>
  <c r="BA41" i="2"/>
  <c r="BB41" i="2" s="1"/>
  <c r="BA42" i="2"/>
  <c r="BB42" i="2" s="1"/>
  <c r="BA43" i="2"/>
  <c r="BB43" i="2" s="1"/>
  <c r="BA44" i="2"/>
  <c r="BB44" i="2" s="1"/>
  <c r="BA45" i="2"/>
  <c r="BB45" i="2" s="1"/>
  <c r="BA46" i="2"/>
  <c r="BB46" i="2" s="1"/>
  <c r="BA47" i="2"/>
  <c r="BB47" i="2" s="1"/>
  <c r="BA48" i="2"/>
  <c r="BB48" i="2" s="1"/>
  <c r="BA49" i="2"/>
  <c r="BB49" i="2" s="1"/>
  <c r="BA50" i="2"/>
  <c r="BB50" i="2" s="1"/>
  <c r="BA51" i="2"/>
  <c r="BB51" i="2" s="1"/>
  <c r="BA52" i="2"/>
  <c r="BB52" i="2" s="1"/>
  <c r="BA53" i="2"/>
  <c r="BB53" i="2" s="1"/>
  <c r="BA54" i="2"/>
  <c r="BB54" i="2" s="1"/>
  <c r="BA55" i="2"/>
  <c r="BB55" i="2" s="1"/>
  <c r="BA56" i="2"/>
  <c r="BB56" i="2" s="1"/>
  <c r="BA57" i="2"/>
  <c r="BB57" i="2" s="1"/>
  <c r="BA58" i="2"/>
  <c r="BB58" i="2" s="1"/>
  <c r="BA59" i="2"/>
  <c r="BB59" i="2" s="1"/>
  <c r="BA60" i="2"/>
  <c r="BB60" i="2" s="1"/>
  <c r="BA61" i="2"/>
  <c r="BB61" i="2" s="1"/>
  <c r="BA62" i="2"/>
  <c r="BB62" i="2" s="1"/>
  <c r="BA63" i="2"/>
  <c r="BB63" i="2" s="1"/>
  <c r="BA64" i="2"/>
  <c r="BB64" i="2" s="1"/>
  <c r="BA65" i="2"/>
  <c r="BB65" i="2" s="1"/>
  <c r="BB5" i="2" l="1"/>
  <c r="BB66" i="2" s="1"/>
  <c r="BB67" i="2" s="1"/>
  <c r="BA66" i="2"/>
  <c r="BA67" i="2" s="1"/>
  <c r="K18" i="4"/>
  <c r="M18" i="4" s="1"/>
  <c r="G18" i="4"/>
  <c r="N18" i="4" l="1"/>
  <c r="F19" i="4" s="1"/>
  <c r="L19" i="4" s="1"/>
  <c r="Q18" i="4"/>
  <c r="K19" i="4" l="1"/>
  <c r="N19" i="4" s="1"/>
  <c r="R18" i="4"/>
  <c r="G19" i="4"/>
  <c r="M19" i="4" l="1"/>
  <c r="F20" i="4"/>
  <c r="L20" i="4" s="1"/>
  <c r="Q19" i="4" l="1"/>
  <c r="R19" i="4" s="1"/>
  <c r="K20" i="4"/>
  <c r="N20" i="4" s="1"/>
  <c r="G20" i="4"/>
  <c r="M20" i="4" l="1"/>
  <c r="F21" i="4"/>
  <c r="Q20" i="4" l="1"/>
  <c r="R20" i="4" s="1"/>
  <c r="L21" i="4"/>
  <c r="K21" i="4" l="1"/>
  <c r="N21" i="4" s="1"/>
  <c r="F22" i="4" s="1"/>
  <c r="G21" i="4"/>
  <c r="L22" i="4" l="1"/>
  <c r="K22" i="4" s="1"/>
  <c r="N22" i="4" s="1"/>
  <c r="F23" i="4" s="1"/>
  <c r="M21" i="4"/>
  <c r="Q21" i="4" l="1"/>
  <c r="R21" i="4" s="1"/>
  <c r="M22" i="4"/>
  <c r="Q22" i="4" s="1"/>
  <c r="G22" i="4"/>
  <c r="L23" i="4" l="1"/>
  <c r="K23" i="4" s="1"/>
  <c r="R22" i="4"/>
  <c r="M23" i="4" l="1"/>
  <c r="Q23" i="4" s="1"/>
  <c r="R23" i="4" s="1"/>
  <c r="N23" i="4"/>
  <c r="G23" i="4"/>
  <c r="F24" i="4" l="1"/>
  <c r="L24" i="4" s="1"/>
  <c r="K24" i="4" l="1"/>
  <c r="N24" i="4" s="1"/>
  <c r="G24" i="4"/>
  <c r="F25" i="4" l="1"/>
  <c r="M24" i="4"/>
  <c r="Q24" i="4" l="1"/>
  <c r="R24" i="4" s="1"/>
  <c r="L25" i="4"/>
  <c r="K25" i="4" s="1"/>
  <c r="M25" i="4" l="1"/>
  <c r="N25" i="4"/>
  <c r="F26" i="4" s="1"/>
  <c r="G25" i="4"/>
  <c r="Q25" i="4" l="1"/>
  <c r="R25" i="4" s="1"/>
  <c r="L26" i="4" l="1"/>
  <c r="K26" i="4" l="1"/>
  <c r="G26" i="4"/>
  <c r="M26" i="4" l="1"/>
  <c r="N26" i="4"/>
  <c r="Q26" i="4" l="1"/>
  <c r="R26" i="4" s="1"/>
  <c r="F27" i="4"/>
  <c r="L27" i="4" l="1"/>
  <c r="K27" i="4" s="1"/>
  <c r="M27" i="4" l="1"/>
  <c r="Q27" i="4" s="1"/>
  <c r="R27" i="4" s="1"/>
  <c r="N27" i="4"/>
  <c r="G27" i="4"/>
  <c r="F28" i="4" l="1"/>
  <c r="L28" i="4" l="1"/>
  <c r="K28" i="4" s="1"/>
  <c r="G28" i="4" l="1"/>
  <c r="M28" i="4"/>
  <c r="Q28" i="4" s="1"/>
  <c r="R28" i="4" s="1"/>
  <c r="N28" i="4"/>
  <c r="F29" i="4" l="1"/>
  <c r="L29" i="4" l="1"/>
  <c r="K29" i="4" s="1"/>
  <c r="G29" i="4" l="1"/>
  <c r="M29" i="4"/>
  <c r="Q29" i="4" s="1"/>
  <c r="R29" i="4" s="1"/>
  <c r="N29" i="4"/>
  <c r="F30" i="4" l="1"/>
  <c r="L30" i="4" l="1"/>
  <c r="K30" i="4" l="1"/>
  <c r="M30" i="4" s="1"/>
  <c r="Q30" i="4" s="1"/>
  <c r="R30" i="4" s="1"/>
  <c r="G30" i="4"/>
  <c r="N30" i="4" l="1"/>
  <c r="F31" i="4" s="1"/>
  <c r="L31" i="4" l="1"/>
  <c r="K31" i="4" l="1"/>
  <c r="G31" i="4"/>
  <c r="M31" i="4" l="1"/>
  <c r="Q31" i="4" s="1"/>
  <c r="R31" i="4" s="1"/>
  <c r="N31" i="4"/>
  <c r="F32" i="4" s="1"/>
  <c r="L32" i="4" l="1"/>
  <c r="K32" i="4" l="1"/>
  <c r="M32" i="4" s="1"/>
  <c r="Q32" i="4" s="1"/>
  <c r="R32" i="4" s="1"/>
  <c r="G32" i="4"/>
  <c r="N32" i="4" l="1"/>
  <c r="F33" i="4" s="1"/>
  <c r="L33" i="4" l="1"/>
  <c r="K33" i="4" l="1"/>
  <c r="N33" i="4" s="1"/>
  <c r="G33" i="4"/>
  <c r="M33" i="4" l="1"/>
  <c r="Q33" i="4" s="1"/>
  <c r="R33" i="4" s="1"/>
  <c r="F34" i="4"/>
  <c r="L34" i="4" l="1"/>
  <c r="K34" i="4" s="1"/>
  <c r="M34" i="4" l="1"/>
  <c r="Q34" i="4" s="1"/>
  <c r="R34" i="4" s="1"/>
  <c r="N34" i="4"/>
  <c r="G34" i="4"/>
  <c r="F35" i="4" l="1"/>
  <c r="L35" i="4" l="1"/>
  <c r="K35" i="4" s="1"/>
  <c r="M35" i="4" l="1"/>
  <c r="Q35" i="4" s="1"/>
  <c r="R35" i="4" s="1"/>
  <c r="N35" i="4"/>
  <c r="G35" i="4"/>
  <c r="F36" i="4" l="1"/>
  <c r="L36" i="4" l="1"/>
  <c r="K36" i="4" s="1"/>
  <c r="M36" i="4" l="1"/>
  <c r="Q36" i="4" s="1"/>
  <c r="R36" i="4" s="1"/>
  <c r="N36" i="4"/>
  <c r="G36" i="4"/>
  <c r="F37" i="4" l="1"/>
  <c r="L37" i="4" l="1"/>
  <c r="K37" i="4" s="1"/>
  <c r="M37" i="4" l="1"/>
  <c r="N37" i="4"/>
  <c r="G37" i="4"/>
  <c r="F38" i="4" l="1"/>
  <c r="Q37" i="4"/>
  <c r="R37" i="4" l="1"/>
  <c r="L38" i="4"/>
  <c r="K38" i="4" s="1"/>
  <c r="M38" i="4" l="1"/>
  <c r="N38" i="4"/>
  <c r="G38" i="4"/>
  <c r="F39" i="4" l="1"/>
  <c r="Q38" i="4"/>
  <c r="R38" i="4" l="1"/>
  <c r="L39" i="4"/>
  <c r="K39" i="4" s="1"/>
  <c r="M39" i="4" l="1"/>
  <c r="N39" i="4"/>
  <c r="G39" i="4"/>
  <c r="F40" i="4" l="1"/>
  <c r="Q39" i="4"/>
  <c r="R39" i="4" l="1"/>
  <c r="L40" i="4"/>
  <c r="K40" i="4" s="1"/>
  <c r="M40" i="4" l="1"/>
  <c r="N40" i="4"/>
  <c r="G40" i="4"/>
  <c r="F41" i="4" l="1"/>
  <c r="Q40" i="4"/>
  <c r="R40" i="4" l="1"/>
  <c r="L41" i="4"/>
  <c r="K41" i="4" s="1"/>
  <c r="M41" i="4" l="1"/>
  <c r="N41" i="4"/>
  <c r="G41" i="4"/>
  <c r="F42" i="4" l="1"/>
  <c r="Q41" i="4"/>
  <c r="R41" i="4" l="1"/>
  <c r="L42" i="4"/>
  <c r="K42" i="4" s="1"/>
  <c r="G42" i="4" l="1"/>
  <c r="M42" i="4"/>
  <c r="Q42" i="4" s="1"/>
  <c r="R42" i="4" s="1"/>
  <c r="N42" i="4"/>
  <c r="F43" i="4" l="1"/>
  <c r="L43" i="4" l="1"/>
  <c r="K43" i="4" s="1"/>
  <c r="M43" i="4" l="1"/>
  <c r="Q43" i="4" s="1"/>
  <c r="R43" i="4" s="1"/>
  <c r="N43" i="4"/>
  <c r="G43" i="4"/>
  <c r="F44" i="4" l="1"/>
  <c r="L44" i="4" l="1"/>
  <c r="K44" i="4" s="1"/>
  <c r="M44" i="4" l="1"/>
  <c r="Q44" i="4" s="1"/>
  <c r="R44" i="4" s="1"/>
  <c r="N44" i="4"/>
  <c r="G44" i="4"/>
  <c r="F45" i="4" l="1"/>
  <c r="L45" i="4" l="1"/>
  <c r="K45" i="4" s="1"/>
  <c r="M45" i="4" l="1"/>
  <c r="Q45" i="4" s="1"/>
  <c r="R45" i="4" s="1"/>
  <c r="N45" i="4"/>
  <c r="G45" i="4"/>
  <c r="F46" i="4" l="1"/>
  <c r="L46" i="4" l="1"/>
  <c r="K46" i="4" s="1"/>
  <c r="M46" i="4" l="1"/>
  <c r="Q46" i="4" s="1"/>
  <c r="R46" i="4" s="1"/>
  <c r="N46" i="4"/>
  <c r="G46" i="4"/>
  <c r="F47" i="4" l="1"/>
  <c r="L47" i="4" l="1"/>
  <c r="K47" i="4" s="1"/>
  <c r="M47" i="4" l="1"/>
  <c r="Q47" i="4" s="1"/>
  <c r="R47" i="4" s="1"/>
  <c r="N47" i="4"/>
  <c r="G47" i="4"/>
  <c r="F48" i="4" l="1"/>
  <c r="L48" i="4" l="1"/>
  <c r="K48" i="4" s="1"/>
  <c r="M48" i="4" l="1"/>
  <c r="Q48" i="4" s="1"/>
  <c r="R48" i="4" s="1"/>
  <c r="N48" i="4"/>
  <c r="G48" i="4"/>
  <c r="F49" i="4" l="1"/>
  <c r="L49" i="4" l="1"/>
  <c r="K49" i="4" s="1"/>
  <c r="M49" i="4" l="1"/>
  <c r="Q49" i="4" s="1"/>
  <c r="R49" i="4" s="1"/>
  <c r="N49" i="4"/>
  <c r="G49" i="4"/>
  <c r="F50" i="4" l="1"/>
  <c r="L50" i="4" l="1"/>
  <c r="K50" i="4" s="1"/>
  <c r="M50" i="4" l="1"/>
  <c r="Q50" i="4" s="1"/>
  <c r="R50" i="4" s="1"/>
  <c r="N50" i="4"/>
  <c r="G50" i="4"/>
  <c r="F51" i="4" l="1"/>
  <c r="L51" i="4" l="1"/>
  <c r="K51" i="4" s="1"/>
  <c r="M51" i="4" l="1"/>
  <c r="Q51" i="4" s="1"/>
  <c r="R51" i="4" s="1"/>
  <c r="N51" i="4"/>
  <c r="G51" i="4"/>
  <c r="F52" i="4" l="1"/>
  <c r="L52" i="4" l="1"/>
  <c r="K52" i="4" s="1"/>
  <c r="M52" i="4" l="1"/>
  <c r="Q52" i="4" s="1"/>
  <c r="R52" i="4" s="1"/>
  <c r="N52" i="4"/>
  <c r="G52" i="4"/>
  <c r="F53" i="4" l="1"/>
  <c r="F54" i="4" l="1"/>
  <c r="L53" i="4"/>
  <c r="G53" i="4" l="1"/>
  <c r="L54" i="4"/>
  <c r="K53" i="4"/>
  <c r="K54" i="4" l="1"/>
  <c r="N53" i="4"/>
  <c r="N54" i="4" s="1"/>
  <c r="M53" i="4"/>
  <c r="M54" i="4" l="1"/>
  <c r="M11" i="4"/>
  <c r="M12" i="4" s="1"/>
  <c r="M13" i="4" s="1"/>
  <c r="Q53" i="4"/>
  <c r="R53" i="4" l="1"/>
  <c r="R54" i="4" s="1"/>
  <c r="Q54" i="4"/>
  <c r="Q9" i="4" s="1"/>
  <c r="R55" i="4" l="1"/>
  <c r="R56" i="4" s="1"/>
  <c r="J12" i="4" s="1"/>
  <c r="R57" i="4" l="1"/>
  <c r="M11" i="3" l="1"/>
  <c r="M12" i="3" s="1"/>
  <c r="M13" i="3" s="1"/>
</calcChain>
</file>

<file path=xl/sharedStrings.xml><?xml version="1.0" encoding="utf-8"?>
<sst xmlns="http://schemas.openxmlformats.org/spreadsheetml/2006/main" count="224" uniqueCount="91">
  <si>
    <t>Carga</t>
  </si>
  <si>
    <t>Serie</t>
  </si>
  <si>
    <t>Fecha de Pago</t>
  </si>
  <si>
    <t>FF Neto</t>
  </si>
  <si>
    <t>BADLAR</t>
  </si>
  <si>
    <t>Fecha de Liq.</t>
  </si>
  <si>
    <t>Fecha de Corte</t>
  </si>
  <si>
    <t>Bono</t>
  </si>
  <si>
    <t>Monto</t>
  </si>
  <si>
    <t>Mínimo</t>
  </si>
  <si>
    <t>Spread</t>
  </si>
  <si>
    <t>Máximo</t>
  </si>
  <si>
    <t>Corte</t>
  </si>
  <si>
    <t>VDF A</t>
  </si>
  <si>
    <t>VDF B</t>
  </si>
  <si>
    <t>VDF C</t>
  </si>
  <si>
    <t>CP</t>
  </si>
  <si>
    <t>Primer dev'to</t>
  </si>
  <si>
    <t>Duration</t>
  </si>
  <si>
    <t>Precio</t>
  </si>
  <si>
    <t>Capital Residual + Interes a pagar</t>
  </si>
  <si>
    <t>(Pago/Flujo)</t>
  </si>
  <si>
    <t>(Flujo-Pago)/Flujo</t>
  </si>
  <si>
    <t>Debt Service Coverage (Flujo/Pago)</t>
  </si>
  <si>
    <t>Fecha</t>
  </si>
  <si>
    <t>VR Al inicio</t>
  </si>
  <si>
    <t>Tasa Aplicable</t>
  </si>
  <si>
    <t>Interés devengado</t>
  </si>
  <si>
    <t>Pago de Capital</t>
  </si>
  <si>
    <t>Pago de Interés</t>
  </si>
  <si>
    <t>Pago Total</t>
  </si>
  <si>
    <t>Útimo pago</t>
  </si>
  <si>
    <t>Días</t>
  </si>
  <si>
    <t>FF</t>
  </si>
  <si>
    <t>VP</t>
  </si>
  <si>
    <t>HOY</t>
  </si>
  <si>
    <t>FF Residual</t>
  </si>
  <si>
    <t>A</t>
  </si>
  <si>
    <t>B</t>
  </si>
  <si>
    <t>C</t>
  </si>
  <si>
    <r>
      <t>Cobertua A t</t>
    </r>
    <r>
      <rPr>
        <sz val="8"/>
        <color rgb="FF000000"/>
        <rFont val="Calibri"/>
        <family val="2"/>
      </rPr>
      <t>0</t>
    </r>
  </si>
  <si>
    <t>Cobertura B a la fecha</t>
  </si>
  <si>
    <t>Cobertura C a la fecha</t>
  </si>
  <si>
    <r>
      <t>Cobertura B &gt; Cobertua A t</t>
    </r>
    <r>
      <rPr>
        <sz val="8"/>
        <color rgb="FF000000"/>
        <rFont val="Calibri"/>
        <family val="2"/>
      </rPr>
      <t>0</t>
    </r>
  </si>
  <si>
    <r>
      <t>Cobertura C &gt; Cobertua A t</t>
    </r>
    <r>
      <rPr>
        <sz val="8"/>
        <color rgb="FF000000"/>
        <rFont val="Calibri"/>
        <family val="2"/>
      </rPr>
      <t>0</t>
    </r>
  </si>
  <si>
    <t>Total</t>
  </si>
  <si>
    <t>MD</t>
  </si>
  <si>
    <t>VN</t>
  </si>
  <si>
    <t>Fecha de Venta</t>
  </si>
  <si>
    <t>Calificación</t>
  </si>
  <si>
    <t>Badlar proyectada (TNA)</t>
  </si>
  <si>
    <t>TIR solicitada</t>
  </si>
  <si>
    <t>[Flujo medido al cupón mínimo]</t>
  </si>
  <si>
    <t>TNA solicitada</t>
  </si>
  <si>
    <t>Precio (AR$ c/100VN)</t>
  </si>
  <si>
    <t>VAN (AR$)</t>
  </si>
  <si>
    <t>Fecha de liquidación</t>
  </si>
  <si>
    <t>TIR Inversor</t>
  </si>
  <si>
    <t>[Flujo con cupón activado a Badlar proyectada]</t>
  </si>
  <si>
    <t>Duration (meses)</t>
  </si>
  <si>
    <t>Spread sobre Badlar</t>
  </si>
  <si>
    <t>Flujo de efectivo (según Prospecto)</t>
  </si>
  <si>
    <t>Flujo Disponible</t>
  </si>
  <si>
    <t>Devengamiento Interés</t>
  </si>
  <si>
    <t>Fecha dev.</t>
  </si>
  <si>
    <t>días</t>
  </si>
  <si>
    <t>tasa de referencia aplicable</t>
  </si>
  <si>
    <t>Tasa cupón proyectada</t>
  </si>
  <si>
    <t>Int. Período dev.</t>
  </si>
  <si>
    <t>Int. Acum. a pagar</t>
  </si>
  <si>
    <t>Cupón</t>
  </si>
  <si>
    <t>Capital</t>
  </si>
  <si>
    <t>Rendimiento</t>
  </si>
  <si>
    <t>Saldo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</si>
  <si>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Valores de Deuda Fiduciaria, el interesado deberá basarse en sus propios cálculos y evaluación de la información publicada en el Suplemento de Prospecto y, en particular, las consideraciones de riesgo para la inversión. </t>
  </si>
  <si>
    <t>TNA (30 días) Inversor</t>
  </si>
  <si>
    <t>k</t>
  </si>
  <si>
    <t>i</t>
  </si>
  <si>
    <t>Fecha Devengamiento Inc</t>
  </si>
  <si>
    <t>Fecha Devengamiento Fin</t>
  </si>
  <si>
    <t>Ajuste</t>
  </si>
  <si>
    <t>Días A</t>
  </si>
  <si>
    <t>Días B</t>
  </si>
  <si>
    <t>Días C</t>
  </si>
  <si>
    <t>Interes Acumulado a pagar</t>
  </si>
  <si>
    <t>Interes devengado</t>
  </si>
  <si>
    <t>CFLVIV</t>
  </si>
  <si>
    <t>AAAsf(arg)</t>
  </si>
  <si>
    <t>A-sf(arg)</t>
  </si>
  <si>
    <t>Calculadora Fideicomiso Financiero MIS XXI - VDF A</t>
  </si>
  <si>
    <t>Calculadora Fideicomiso Financiero MIS XXI - VDF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</si>
</sst>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_ ;_ &quot;$&quot;\ * \-#,##0_ ;_ &quot;$&quot;\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;\-#,##0;\-"/>
    <numFmt numFmtId="168" formatCode="0.0%"/>
    <numFmt numFmtId="169" formatCode="#,##0.0&quot;x&quot;\ ;\-#,##0.0&quot;x&quot;"/>
    <numFmt numFmtId="170" formatCode="#,##0;\-#,##0;"/>
    <numFmt numFmtId="171" formatCode="#,##0.00;\-#,##0.00;\-"/>
    <numFmt numFmtId="172" formatCode="0.0000%"/>
    <numFmt numFmtId="173" formatCode="_ * #,##0.000000_ ;_ * \-#,##0.000000_ ;_ * &quot;-&quot;??_ ;_ @_ "/>
    <numFmt numFmtId="174" formatCode="_ * #,##0_ ;_ * \-#,##0_ ;_ * &quot;-&quot;??_ ;_ @_ "/>
    <numFmt numFmtId="175" formatCode="_ * #,##0_ ;_ * \-#,##0_ ;_ * &quot;-&quot;????_ ;_ @_ "/>
    <numFmt numFmtId="176" formatCode="_ &quot;$&quot;\ * #,##0_ ;_ &quot;$&quot;\ * \-#,##0_ ;_ &quot;$&quot;\ * &quot;-&quot;??_ ;_ @_ "/>
    <numFmt numFmtId="177" formatCode="#,##0\ &quot;bps&quot;"/>
    <numFmt numFmtId="178" formatCode="_ * #,##0.0000_ ;_ * \-#,##0.0000_ ;_ * &quot;-&quot;??_ ;_ @_ "/>
    <numFmt numFmtId="179" formatCode="_-&quot;$&quot;* #,##0.00_-;\-&quot;$&quot;* #,##0.00_-;_-&quot;$&quot;* &quot;-&quot;??_-;_-@"/>
    <numFmt numFmtId="180" formatCode="#,##0\ &quot;días&quot;"/>
    <numFmt numFmtId="181" formatCode="dd/mm/yyyy;@"/>
    <numFmt numFmtId="182" formatCode="_-* #,##0\ _P_t_s_-;\-* #,##0\ _P_t_s_-;_-* &quot;-&quot;??\ _P_t_s_-;_-@_-"/>
    <numFmt numFmtId="183" formatCode="_-* #,##0_-;\-* #,##0_-;_-* &quot;-&quot;??_-;_-@_-"/>
    <numFmt numFmtId="184" formatCode="_-&quot;$&quot;\ * #,##0_-;\-&quot;$&quot;\ * #,##0_-;_-&quot;$&quot;\ * &quot;-&quot;??_-;_-@_-"/>
  </numFmts>
  <fonts count="38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C0504D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4F81BD"/>
      <name val="Calibri"/>
      <family val="2"/>
    </font>
    <font>
      <sz val="9"/>
      <color rgb="FF000000"/>
      <name val="Calibri"/>
      <family val="2"/>
    </font>
    <font>
      <i/>
      <sz val="8"/>
      <color rgb="FF4BACC6"/>
      <name val="Calibri"/>
      <family val="2"/>
    </font>
    <font>
      <sz val="11"/>
      <color rgb="FF000000"/>
      <name val="Quattrocento Sans"/>
    </font>
    <font>
      <b/>
      <i/>
      <sz val="20"/>
      <name val="Quattrocento Sans"/>
    </font>
    <font>
      <sz val="10"/>
      <name val="Quattrocento Sans"/>
    </font>
    <font>
      <sz val="10"/>
      <color rgb="FFFFFFFF"/>
      <name val="Quattrocento Sans"/>
    </font>
    <font>
      <b/>
      <sz val="11"/>
      <color rgb="FF000000"/>
      <name val="Quattrocento Sans"/>
    </font>
    <font>
      <sz val="10"/>
      <color rgb="FF000000"/>
      <name val="Quattrocento Sans"/>
    </font>
    <font>
      <sz val="22"/>
      <color rgb="FF002060"/>
      <name val="Quattrocento Sans"/>
    </font>
    <font>
      <b/>
      <sz val="10"/>
      <name val="Quattrocento Sans"/>
    </font>
    <font>
      <b/>
      <sz val="10"/>
      <color rgb="FFFFFFFF"/>
      <name val="Quattrocento Sans"/>
    </font>
    <font>
      <sz val="9"/>
      <name val="Quattrocento Sans"/>
    </font>
    <font>
      <sz val="9"/>
      <name val="Arial"/>
      <family val="2"/>
    </font>
    <font>
      <i/>
      <sz val="10"/>
      <color rgb="FF000000"/>
      <name val="Quattrocento Sans"/>
    </font>
    <font>
      <b/>
      <sz val="11"/>
      <name val="Quattrocento Sans"/>
    </font>
    <font>
      <b/>
      <sz val="10"/>
      <color rgb="FF000000"/>
      <name val="Quattrocento Sans"/>
    </font>
    <font>
      <b/>
      <sz val="10"/>
      <name val="Arial"/>
      <family val="2"/>
    </font>
    <font>
      <b/>
      <u/>
      <sz val="11"/>
      <color rgb="FF000000"/>
      <name val="Quattrocento Sans"/>
    </font>
    <font>
      <sz val="11"/>
      <name val="Calibri"/>
      <family val="2"/>
    </font>
    <font>
      <b/>
      <sz val="11"/>
      <color rgb="FF0066CC"/>
      <name val="Quattrocento Sans"/>
    </font>
    <font>
      <b/>
      <sz val="11"/>
      <color rgb="FFFFFFFF"/>
      <name val="Quattrocento Sans"/>
    </font>
    <font>
      <sz val="11"/>
      <color rgb="FFFFFFFF"/>
      <name val="Quattrocento Sans"/>
    </font>
    <font>
      <sz val="11"/>
      <color rgb="FFFF0000"/>
      <name val="Quattrocento Sans"/>
    </font>
    <font>
      <i/>
      <sz val="10"/>
      <name val="Quattrocento Sans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rgb="FF333333"/>
      <name val="Helvetica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2269"/>
        <bgColor rgb="FF002269"/>
      </patternFill>
    </fill>
    <fill>
      <patternFill patternType="solid">
        <fgColor rgb="FFD6E3BC"/>
        <bgColor rgb="FFD6E3BC"/>
      </patternFill>
    </fill>
    <fill>
      <patternFill patternType="solid">
        <fgColor rgb="FFCF102D"/>
        <bgColor rgb="FFCF102D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</borders>
  <cellStyleXfs count="5">
    <xf numFmtId="0" fontId="0" fillId="0" borderId="0"/>
    <xf numFmtId="0" fontId="1" fillId="0" borderId="0"/>
    <xf numFmtId="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192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5" fontId="5" fillId="0" borderId="0" xfId="0" applyNumberFormat="1" applyFont="1" applyAlignment="1">
      <alignment horizontal="center" vertical="center"/>
    </xf>
    <xf numFmtId="10" fontId="5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7" fillId="0" borderId="0" xfId="0" applyFont="1"/>
    <xf numFmtId="169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center" vertical="center"/>
    </xf>
    <xf numFmtId="170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71" fontId="5" fillId="0" borderId="0" xfId="0" applyNumberFormat="1" applyFont="1" applyAlignment="1">
      <alignment vertical="center"/>
    </xf>
    <xf numFmtId="171" fontId="5" fillId="2" borderId="0" xfId="0" applyNumberFormat="1" applyFont="1" applyFill="1" applyBorder="1" applyAlignment="1">
      <alignment vertical="center"/>
    </xf>
    <xf numFmtId="9" fontId="0" fillId="0" borderId="0" xfId="0" applyNumberFormat="1" applyFont="1"/>
    <xf numFmtId="168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72" fontId="4" fillId="0" borderId="0" xfId="0" applyNumberFormat="1" applyFont="1" applyAlignment="1">
      <alignment vertical="center"/>
    </xf>
    <xf numFmtId="15" fontId="8" fillId="0" borderId="0" xfId="0" applyNumberFormat="1" applyFont="1" applyAlignment="1">
      <alignment horizontal="center" vertical="center"/>
    </xf>
    <xf numFmtId="170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72" fontId="0" fillId="0" borderId="0" xfId="0" applyNumberFormat="1" applyFont="1"/>
    <xf numFmtId="173" fontId="0" fillId="0" borderId="0" xfId="0" applyNumberFormat="1" applyFont="1"/>
    <xf numFmtId="0" fontId="9" fillId="3" borderId="0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Protection="1">
      <protection hidden="1"/>
    </xf>
    <xf numFmtId="0" fontId="12" fillId="3" borderId="0" xfId="0" applyFont="1" applyFill="1" applyBorder="1" applyProtection="1">
      <protection hidden="1"/>
    </xf>
    <xf numFmtId="174" fontId="13" fillId="3" borderId="0" xfId="0" applyNumberFormat="1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174" fontId="9" fillId="3" borderId="0" xfId="0" applyNumberFormat="1" applyFont="1" applyFill="1" applyBorder="1" applyProtection="1">
      <protection hidden="1"/>
    </xf>
    <xf numFmtId="175" fontId="9" fillId="3" borderId="0" xfId="0" applyNumberFormat="1" applyFont="1" applyFill="1" applyBorder="1" applyProtection="1"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176" fontId="11" fillId="0" borderId="2" xfId="0" applyNumberFormat="1" applyFont="1" applyBorder="1" applyAlignment="1" applyProtection="1">
      <alignment horizontal="right"/>
      <protection hidden="1"/>
    </xf>
    <xf numFmtId="0" fontId="16" fillId="4" borderId="0" xfId="0" applyFont="1" applyFill="1" applyBorder="1" applyProtection="1">
      <protection hidden="1"/>
    </xf>
    <xf numFmtId="14" fontId="16" fillId="4" borderId="0" xfId="0" applyNumberFormat="1" applyFont="1" applyFill="1" applyBorder="1" applyAlignment="1" applyProtection="1">
      <alignment horizontal="right"/>
      <protection hidden="1"/>
    </xf>
    <xf numFmtId="0" fontId="17" fillId="5" borderId="2" xfId="0" applyFont="1" applyFill="1" applyBorder="1" applyAlignment="1" applyProtection="1">
      <alignment horizontal="center"/>
      <protection hidden="1"/>
    </xf>
    <xf numFmtId="168" fontId="11" fillId="3" borderId="0" xfId="0" applyNumberFormat="1" applyFont="1" applyFill="1" applyBorder="1" applyProtection="1">
      <protection hidden="1"/>
    </xf>
    <xf numFmtId="0" fontId="18" fillId="3" borderId="0" xfId="0" applyFont="1" applyFill="1" applyBorder="1" applyAlignment="1" applyProtection="1">
      <alignment vertical="center" wrapText="1"/>
      <protection hidden="1"/>
    </xf>
    <xf numFmtId="0" fontId="19" fillId="3" borderId="0" xfId="0" applyFont="1" applyFill="1" applyBorder="1" applyAlignment="1" applyProtection="1">
      <alignment vertical="center" wrapText="1"/>
      <protection hidden="1"/>
    </xf>
    <xf numFmtId="0" fontId="19" fillId="3" borderId="0" xfId="0" applyFont="1" applyFill="1" applyBorder="1" applyAlignment="1" applyProtection="1">
      <alignment wrapText="1"/>
      <protection hidden="1"/>
    </xf>
    <xf numFmtId="10" fontId="11" fillId="0" borderId="2" xfId="0" applyNumberFormat="1" applyFont="1" applyBorder="1" applyAlignment="1" applyProtection="1">
      <alignment horizontal="right"/>
      <protection hidden="1"/>
    </xf>
    <xf numFmtId="0" fontId="20" fillId="3" borderId="0" xfId="0" applyFont="1" applyFill="1" applyBorder="1" applyAlignment="1" applyProtection="1">
      <alignment horizontal="left"/>
      <protection hidden="1"/>
    </xf>
    <xf numFmtId="9" fontId="9" fillId="3" borderId="0" xfId="0" applyNumberFormat="1" applyFont="1" applyFill="1" applyBorder="1" applyProtection="1">
      <protection hidden="1"/>
    </xf>
    <xf numFmtId="164" fontId="11" fillId="3" borderId="0" xfId="0" applyNumberFormat="1" applyFont="1" applyFill="1" applyBorder="1" applyProtection="1">
      <protection hidden="1"/>
    </xf>
    <xf numFmtId="0" fontId="16" fillId="3" borderId="2" xfId="0" applyFont="1" applyFill="1" applyBorder="1" applyAlignment="1" applyProtection="1">
      <alignment horizontal="center" vertical="center" wrapText="1"/>
      <protection hidden="1"/>
    </xf>
    <xf numFmtId="10" fontId="11" fillId="0" borderId="2" xfId="0" applyNumberFormat="1" applyFont="1" applyBorder="1" applyAlignment="1" applyProtection="1">
      <alignment vertical="center"/>
      <protection hidden="1"/>
    </xf>
    <xf numFmtId="177" fontId="9" fillId="3" borderId="0" xfId="0" applyNumberFormat="1" applyFont="1" applyFill="1" applyBorder="1" applyProtection="1">
      <protection hidden="1"/>
    </xf>
    <xf numFmtId="0" fontId="21" fillId="3" borderId="0" xfId="0" applyFont="1" applyFill="1" applyBorder="1" applyAlignment="1" applyProtection="1">
      <alignment vertical="center" wrapText="1"/>
      <protection hidden="1"/>
    </xf>
    <xf numFmtId="177" fontId="11" fillId="0" borderId="2" xfId="0" applyNumberFormat="1" applyFont="1" applyBorder="1" applyAlignment="1" applyProtection="1">
      <alignment horizontal="right" vertical="center" wrapText="1"/>
      <protection hidden="1"/>
    </xf>
    <xf numFmtId="0" fontId="16" fillId="4" borderId="2" xfId="0" applyFont="1" applyFill="1" applyBorder="1" applyAlignment="1" applyProtection="1">
      <alignment horizontal="center" vertical="center" wrapText="1"/>
      <protection hidden="1"/>
    </xf>
    <xf numFmtId="178" fontId="16" fillId="4" borderId="2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left"/>
      <protection hidden="1"/>
    </xf>
    <xf numFmtId="165" fontId="16" fillId="0" borderId="0" xfId="0" applyNumberFormat="1" applyFont="1" applyProtection="1">
      <protection hidden="1"/>
    </xf>
    <xf numFmtId="179" fontId="14" fillId="3" borderId="0" xfId="0" applyNumberFormat="1" applyFont="1" applyFill="1" applyBorder="1" applyProtection="1">
      <protection hidden="1"/>
    </xf>
    <xf numFmtId="179" fontId="9" fillId="0" borderId="0" xfId="0" applyNumberFormat="1" applyFont="1" applyProtection="1">
      <protection hidden="1"/>
    </xf>
    <xf numFmtId="164" fontId="9" fillId="3" borderId="0" xfId="0" applyNumberFormat="1" applyFont="1" applyFill="1" applyBorder="1" applyProtection="1"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14" fontId="11" fillId="3" borderId="0" xfId="0" applyNumberFormat="1" applyFont="1" applyFill="1" applyBorder="1" applyAlignment="1" applyProtection="1">
      <alignment horizontal="center"/>
      <protection hidden="1"/>
    </xf>
    <xf numFmtId="166" fontId="9" fillId="3" borderId="0" xfId="0" applyNumberFormat="1" applyFont="1" applyFill="1" applyBorder="1" applyProtection="1">
      <protection hidden="1"/>
    </xf>
    <xf numFmtId="178" fontId="11" fillId="3" borderId="0" xfId="0" applyNumberFormat="1" applyFont="1" applyFill="1" applyBorder="1" applyProtection="1">
      <protection hidden="1"/>
    </xf>
    <xf numFmtId="176" fontId="9" fillId="3" borderId="0" xfId="0" applyNumberFormat="1" applyFont="1" applyFill="1" applyBorder="1" applyProtection="1">
      <protection hidden="1"/>
    </xf>
    <xf numFmtId="14" fontId="11" fillId="0" borderId="2" xfId="0" applyNumberFormat="1" applyFont="1" applyBorder="1" applyAlignment="1" applyProtection="1">
      <alignment vertical="center"/>
      <protection hidden="1"/>
    </xf>
    <xf numFmtId="10" fontId="11" fillId="3" borderId="2" xfId="0" applyNumberFormat="1" applyFont="1" applyFill="1" applyBorder="1" applyAlignment="1" applyProtection="1">
      <alignment vertical="center"/>
      <protection hidden="1"/>
    </xf>
    <xf numFmtId="10" fontId="11" fillId="3" borderId="0" xfId="0" applyNumberFormat="1" applyFont="1" applyFill="1" applyBorder="1" applyProtection="1">
      <protection hidden="1"/>
    </xf>
    <xf numFmtId="166" fontId="11" fillId="0" borderId="2" xfId="0" applyNumberFormat="1" applyFont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0" fontId="11" fillId="0" borderId="0" xfId="0" applyNumberFormat="1" applyFont="1" applyAlignment="1" applyProtection="1">
      <alignment horizontal="center"/>
      <protection hidden="1"/>
    </xf>
    <xf numFmtId="0" fontId="22" fillId="4" borderId="2" xfId="0" applyFont="1" applyFill="1" applyBorder="1" applyAlignment="1" applyProtection="1">
      <alignment horizontal="center"/>
      <protection hidden="1"/>
    </xf>
    <xf numFmtId="177" fontId="23" fillId="4" borderId="2" xfId="0" applyNumberFormat="1" applyFont="1" applyFill="1" applyBorder="1" applyAlignment="1" applyProtection="1">
      <alignment horizontal="right" vertical="center" wrapText="1"/>
      <protection hidden="1"/>
    </xf>
    <xf numFmtId="166" fontId="9" fillId="0" borderId="0" xfId="0" applyNumberFormat="1" applyFont="1" applyProtection="1">
      <protection hidden="1"/>
    </xf>
    <xf numFmtId="174" fontId="9" fillId="0" borderId="0" xfId="0" applyNumberFormat="1" applyFont="1" applyProtection="1">
      <protection hidden="1"/>
    </xf>
    <xf numFmtId="0" fontId="24" fillId="3" borderId="0" xfId="0" applyFont="1" applyFill="1" applyBorder="1" applyProtection="1">
      <protection hidden="1"/>
    </xf>
    <xf numFmtId="172" fontId="9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4" fontId="9" fillId="0" borderId="11" xfId="0" applyNumberFormat="1" applyFont="1" applyBorder="1" applyAlignment="1" applyProtection="1">
      <alignment horizontal="center"/>
      <protection hidden="1"/>
    </xf>
    <xf numFmtId="14" fontId="9" fillId="0" borderId="0" xfId="0" applyNumberFormat="1" applyFont="1" applyAlignment="1" applyProtection="1">
      <alignment horizontal="center"/>
      <protection hidden="1"/>
    </xf>
    <xf numFmtId="164" fontId="9" fillId="0" borderId="15" xfId="0" applyNumberFormat="1" applyFont="1" applyBorder="1" applyProtection="1">
      <protection hidden="1"/>
    </xf>
    <xf numFmtId="164" fontId="9" fillId="0" borderId="0" xfId="0" applyNumberFormat="1" applyFont="1" applyProtection="1">
      <protection hidden="1"/>
    </xf>
    <xf numFmtId="14" fontId="13" fillId="0" borderId="16" xfId="0" applyNumberFormat="1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164" fontId="9" fillId="0" borderId="16" xfId="0" applyNumberFormat="1" applyFont="1" applyBorder="1" applyAlignment="1" applyProtection="1">
      <alignment horizontal="center"/>
      <protection hidden="1"/>
    </xf>
    <xf numFmtId="176" fontId="13" fillId="0" borderId="16" xfId="0" applyNumberFormat="1" applyFont="1" applyBorder="1" applyAlignment="1" applyProtection="1">
      <alignment horizontal="center"/>
      <protection hidden="1"/>
    </xf>
    <xf numFmtId="174" fontId="9" fillId="0" borderId="0" xfId="0" applyNumberFormat="1" applyFont="1" applyAlignment="1" applyProtection="1">
      <alignment vertical="top" wrapText="1"/>
      <protection hidden="1"/>
    </xf>
    <xf numFmtId="164" fontId="26" fillId="0" borderId="0" xfId="0" applyNumberFormat="1" applyFont="1" applyProtection="1">
      <protection hidden="1"/>
    </xf>
    <xf numFmtId="180" fontId="9" fillId="0" borderId="0" xfId="0" applyNumberFormat="1" applyFont="1" applyAlignment="1" applyProtection="1">
      <alignment horizontal="center"/>
      <protection hidden="1"/>
    </xf>
    <xf numFmtId="172" fontId="11" fillId="0" borderId="15" xfId="0" applyNumberFormat="1" applyFont="1" applyBorder="1" applyAlignment="1" applyProtection="1">
      <alignment horizontal="center"/>
      <protection hidden="1"/>
    </xf>
    <xf numFmtId="14" fontId="9" fillId="0" borderId="17" xfId="0" applyNumberFormat="1" applyFont="1" applyBorder="1" applyAlignment="1" applyProtection="1">
      <alignment horizontal="center"/>
      <protection hidden="1"/>
    </xf>
    <xf numFmtId="172" fontId="9" fillId="0" borderId="17" xfId="0" applyNumberFormat="1" applyFont="1" applyBorder="1" applyAlignment="1" applyProtection="1">
      <alignment horizontal="center"/>
      <protection hidden="1"/>
    </xf>
    <xf numFmtId="164" fontId="9" fillId="0" borderId="17" xfId="0" applyNumberFormat="1" applyFont="1" applyBorder="1" applyProtection="1">
      <protection hidden="1"/>
    </xf>
    <xf numFmtId="176" fontId="9" fillId="0" borderId="17" xfId="0" applyNumberFormat="1" applyFont="1" applyBorder="1" applyProtection="1">
      <protection hidden="1"/>
    </xf>
    <xf numFmtId="14" fontId="27" fillId="7" borderId="2" xfId="0" applyNumberFormat="1" applyFont="1" applyFill="1" applyBorder="1" applyAlignment="1" applyProtection="1">
      <alignment horizontal="center"/>
      <protection hidden="1"/>
    </xf>
    <xf numFmtId="14" fontId="28" fillId="7" borderId="2" xfId="0" applyNumberFormat="1" applyFont="1" applyFill="1" applyBorder="1" applyAlignment="1" applyProtection="1">
      <alignment horizontal="center"/>
      <protection hidden="1"/>
    </xf>
    <xf numFmtId="164" fontId="27" fillId="7" borderId="2" xfId="0" applyNumberFormat="1" applyFont="1" applyFill="1" applyBorder="1" applyProtection="1">
      <protection hidden="1"/>
    </xf>
    <xf numFmtId="164" fontId="13" fillId="0" borderId="18" xfId="0" applyNumberFormat="1" applyFont="1" applyBorder="1" applyProtection="1">
      <protection hidden="1"/>
    </xf>
    <xf numFmtId="166" fontId="29" fillId="0" borderId="0" xfId="0" applyNumberFormat="1" applyFont="1" applyProtection="1">
      <protection hidden="1"/>
    </xf>
    <xf numFmtId="166" fontId="13" fillId="0" borderId="0" xfId="0" applyNumberFormat="1" applyFont="1" applyProtection="1">
      <protection hidden="1"/>
    </xf>
    <xf numFmtId="17" fontId="30" fillId="3" borderId="0" xfId="0" applyNumberFormat="1" applyFont="1" applyFill="1" applyBorder="1" applyAlignment="1" applyProtection="1">
      <alignment vertical="center" wrapText="1"/>
      <protection hidden="1"/>
    </xf>
    <xf numFmtId="10" fontId="16" fillId="6" borderId="2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Protection="1">
      <protection hidden="1"/>
    </xf>
    <xf numFmtId="0" fontId="5" fillId="0" borderId="0" xfId="0" applyFont="1"/>
    <xf numFmtId="10" fontId="16" fillId="6" borderId="2" xfId="0" applyNumberFormat="1" applyFont="1" applyFill="1" applyBorder="1" applyAlignment="1" applyProtection="1">
      <alignment horizontal="right" vertical="center"/>
      <protection locked="0"/>
    </xf>
    <xf numFmtId="10" fontId="16" fillId="3" borderId="2" xfId="0" applyNumberFormat="1" applyFont="1" applyFill="1" applyBorder="1" applyAlignment="1" applyProtection="1">
      <alignment horizontal="right" vertical="center"/>
      <protection hidden="1"/>
    </xf>
    <xf numFmtId="167" fontId="0" fillId="0" borderId="0" xfId="0" applyNumberFormat="1" applyFont="1" applyAlignment="1"/>
    <xf numFmtId="181" fontId="13" fillId="0" borderId="16" xfId="0" applyNumberFormat="1" applyFont="1" applyBorder="1" applyAlignment="1" applyProtection="1">
      <alignment horizontal="center"/>
      <protection hidden="1"/>
    </xf>
    <xf numFmtId="181" fontId="9" fillId="0" borderId="17" xfId="0" applyNumberFormat="1" applyFont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centerContinuous"/>
      <protection hidden="1"/>
    </xf>
    <xf numFmtId="0" fontId="10" fillId="3" borderId="0" xfId="0" applyFont="1" applyFill="1" applyBorder="1" applyAlignment="1" applyProtection="1">
      <alignment horizontal="centerContinuous"/>
      <protection hidden="1"/>
    </xf>
    <xf numFmtId="0" fontId="9" fillId="3" borderId="0" xfId="0" applyFont="1" applyFill="1" applyBorder="1" applyAlignment="1" applyProtection="1">
      <alignment horizontal="centerContinuous"/>
      <protection hidden="1"/>
    </xf>
    <xf numFmtId="10" fontId="9" fillId="0" borderId="0" xfId="2" applyNumberFormat="1" applyFont="1" applyProtection="1">
      <protection hidden="1"/>
    </xf>
    <xf numFmtId="10" fontId="5" fillId="0" borderId="0" xfId="2" applyNumberFormat="1" applyFont="1" applyAlignment="1">
      <alignment vertical="center"/>
    </xf>
    <xf numFmtId="3" fontId="0" fillId="0" borderId="0" xfId="0" applyNumberFormat="1" applyFont="1" applyAlignment="1"/>
    <xf numFmtId="0" fontId="17" fillId="7" borderId="22" xfId="0" applyFont="1" applyFill="1" applyBorder="1" applyAlignment="1" applyProtection="1">
      <alignment horizontal="center" vertical="center"/>
      <protection hidden="1"/>
    </xf>
    <xf numFmtId="181" fontId="13" fillId="0" borderId="23" xfId="0" applyNumberFormat="1" applyFont="1" applyBorder="1" applyAlignment="1" applyProtection="1">
      <alignment horizontal="center"/>
      <protection hidden="1"/>
    </xf>
    <xf numFmtId="14" fontId="27" fillId="7" borderId="25" xfId="0" applyNumberFormat="1" applyFont="1" applyFill="1" applyBorder="1" applyAlignment="1" applyProtection="1">
      <alignment horizontal="center"/>
      <protection hidden="1"/>
    </xf>
    <xf numFmtId="0" fontId="17" fillId="7" borderId="8" xfId="0" applyFont="1" applyFill="1" applyBorder="1" applyAlignment="1" applyProtection="1">
      <alignment horizontal="center" vertical="center"/>
      <protection hidden="1"/>
    </xf>
    <xf numFmtId="14" fontId="13" fillId="0" borderId="26" xfId="0" applyNumberFormat="1" applyFont="1" applyBorder="1" applyAlignment="1" applyProtection="1">
      <alignment horizontal="center"/>
      <protection hidden="1"/>
    </xf>
    <xf numFmtId="172" fontId="9" fillId="0" borderId="0" xfId="0" applyNumberFormat="1" applyFont="1" applyBorder="1" applyAlignment="1" applyProtection="1">
      <alignment horizontal="center"/>
      <protection hidden="1"/>
    </xf>
    <xf numFmtId="14" fontId="28" fillId="7" borderId="8" xfId="0" applyNumberFormat="1" applyFont="1" applyFill="1" applyBorder="1" applyAlignment="1" applyProtection="1">
      <alignment horizontal="center"/>
      <protection hidden="1"/>
    </xf>
    <xf numFmtId="164" fontId="9" fillId="0" borderId="20" xfId="0" applyNumberFormat="1" applyFont="1" applyBorder="1" applyProtection="1">
      <protection hidden="1"/>
    </xf>
    <xf numFmtId="0" fontId="13" fillId="0" borderId="23" xfId="0" applyFont="1" applyBorder="1" applyAlignment="1" applyProtection="1">
      <alignment horizontal="center"/>
      <protection hidden="1"/>
    </xf>
    <xf numFmtId="164" fontId="9" fillId="0" borderId="24" xfId="0" applyNumberFormat="1" applyFont="1" applyBorder="1" applyProtection="1">
      <protection hidden="1"/>
    </xf>
    <xf numFmtId="164" fontId="27" fillId="7" borderId="25" xfId="0" applyNumberFormat="1" applyFont="1" applyFill="1" applyBorder="1" applyProtection="1">
      <protection hidden="1"/>
    </xf>
    <xf numFmtId="176" fontId="13" fillId="0" borderId="23" xfId="0" applyNumberFormat="1" applyFont="1" applyBorder="1" applyAlignment="1" applyProtection="1">
      <alignment horizontal="center"/>
      <protection hidden="1"/>
    </xf>
    <xf numFmtId="176" fontId="9" fillId="0" borderId="24" xfId="0" applyNumberFormat="1" applyFont="1" applyBorder="1" applyProtection="1">
      <protection hidden="1"/>
    </xf>
    <xf numFmtId="0" fontId="17" fillId="7" borderId="27" xfId="0" applyFont="1" applyFill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17" fillId="7" borderId="16" xfId="0" applyFont="1" applyFill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/>
      <protection hidden="1"/>
    </xf>
    <xf numFmtId="14" fontId="9" fillId="0" borderId="24" xfId="0" applyNumberFormat="1" applyFont="1" applyBorder="1" applyAlignment="1" applyProtection="1">
      <alignment horizontal="center"/>
      <protection hidden="1"/>
    </xf>
    <xf numFmtId="182" fontId="33" fillId="0" borderId="0" xfId="3" applyNumberFormat="1" applyFont="1" applyFill="1" applyBorder="1" applyAlignment="1" applyProtection="1">
      <alignment horizontal="center"/>
      <protection hidden="1"/>
    </xf>
    <xf numFmtId="182" fontId="30" fillId="3" borderId="0" xfId="0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Alignment="1" applyProtection="1">
      <protection hidden="1"/>
    </xf>
    <xf numFmtId="43" fontId="0" fillId="0" borderId="0" xfId="3" applyFont="1" applyAlignment="1"/>
    <xf numFmtId="0" fontId="4" fillId="0" borderId="0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8" fontId="5" fillId="0" borderId="0" xfId="2" applyNumberFormat="1" applyFont="1" applyAlignment="1">
      <alignment vertical="center"/>
    </xf>
    <xf numFmtId="168" fontId="5" fillId="2" borderId="0" xfId="2" applyNumberFormat="1" applyFont="1" applyFill="1" applyBorder="1" applyAlignment="1">
      <alignment vertical="center"/>
    </xf>
    <xf numFmtId="183" fontId="5" fillId="0" borderId="0" xfId="3" applyNumberFormat="1" applyFont="1" applyAlignment="1">
      <alignment vertical="center"/>
    </xf>
    <xf numFmtId="183" fontId="5" fillId="2" borderId="0" xfId="3" applyNumberFormat="1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horizontal="left"/>
      <protection hidden="1"/>
    </xf>
    <xf numFmtId="14" fontId="35" fillId="8" borderId="29" xfId="0" applyNumberFormat="1" applyFont="1" applyFill="1" applyBorder="1" applyAlignment="1">
      <alignment vertical="center" wrapText="1"/>
    </xf>
    <xf numFmtId="0" fontId="35" fillId="8" borderId="29" xfId="0" applyFont="1" applyFill="1" applyBorder="1" applyAlignment="1">
      <alignment horizontal="right" vertical="center" wrapText="1"/>
    </xf>
    <xf numFmtId="184" fontId="31" fillId="0" borderId="0" xfId="4" applyNumberFormat="1" applyFont="1" applyAlignment="1"/>
    <xf numFmtId="184" fontId="31" fillId="0" borderId="24" xfId="4" applyNumberFormat="1" applyFont="1" applyBorder="1" applyAlignment="1"/>
    <xf numFmtId="184" fontId="9" fillId="0" borderId="20" xfId="4" applyNumberFormat="1" applyFont="1" applyBorder="1" applyProtection="1">
      <protection hidden="1"/>
    </xf>
    <xf numFmtId="184" fontId="9" fillId="0" borderId="17" xfId="4" applyNumberFormat="1" applyFont="1" applyBorder="1" applyProtection="1">
      <protection hidden="1"/>
    </xf>
    <xf numFmtId="3" fontId="0" fillId="9" borderId="0" xfId="0" applyNumberFormat="1" applyFont="1" applyFill="1" applyAlignment="1"/>
    <xf numFmtId="14" fontId="37" fillId="8" borderId="29" xfId="0" applyNumberFormat="1" applyFont="1" applyFill="1" applyBorder="1" applyAlignment="1">
      <alignment vertical="center" wrapText="1"/>
    </xf>
    <xf numFmtId="0" fontId="37" fillId="8" borderId="29" xfId="0" applyFont="1" applyFill="1" applyBorder="1" applyAlignment="1">
      <alignment horizontal="right" vertical="center" wrapText="1"/>
    </xf>
    <xf numFmtId="0" fontId="36" fillId="8" borderId="30" xfId="0" applyFont="1" applyFill="1" applyBorder="1" applyAlignment="1">
      <alignment horizontal="center" wrapText="1"/>
    </xf>
    <xf numFmtId="0" fontId="5" fillId="9" borderId="0" xfId="0" applyFont="1" applyFill="1"/>
    <xf numFmtId="167" fontId="5" fillId="9" borderId="0" xfId="0" applyNumberFormat="1" applyFont="1" applyFill="1" applyAlignment="1">
      <alignment vertical="center"/>
    </xf>
    <xf numFmtId="168" fontId="5" fillId="9" borderId="0" xfId="0" applyNumberFormat="1" applyFont="1" applyFill="1" applyAlignment="1">
      <alignment vertical="center"/>
    </xf>
    <xf numFmtId="10" fontId="6" fillId="9" borderId="0" xfId="0" applyNumberFormat="1" applyFont="1" applyFill="1" applyBorder="1" applyAlignment="1">
      <alignment vertical="center"/>
    </xf>
    <xf numFmtId="15" fontId="5" fillId="9" borderId="0" xfId="0" applyNumberFormat="1" applyFont="1" applyFill="1" applyAlignment="1">
      <alignment horizontal="center" vertical="center"/>
    </xf>
    <xf numFmtId="0" fontId="0" fillId="9" borderId="0" xfId="0" applyFont="1" applyFill="1" applyAlignment="1"/>
    <xf numFmtId="0" fontId="17" fillId="7" borderId="7" xfId="0" applyFont="1" applyFill="1" applyBorder="1" applyAlignment="1" applyProtection="1">
      <alignment horizontal="center" vertical="center"/>
      <protection hidden="1"/>
    </xf>
    <xf numFmtId="0" fontId="25" fillId="0" borderId="8" xfId="0" applyFont="1" applyBorder="1" applyProtection="1">
      <protection hidden="1"/>
    </xf>
    <xf numFmtId="0" fontId="25" fillId="0" borderId="9" xfId="0" applyFont="1" applyBorder="1" applyProtection="1">
      <protection hidden="1"/>
    </xf>
    <xf numFmtId="17" fontId="30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Border="1" applyProtection="1">
      <protection hidden="1"/>
    </xf>
    <xf numFmtId="0" fontId="0" fillId="0" borderId="0" xfId="0" applyFont="1" applyAlignment="1" applyProtection="1"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25" fillId="0" borderId="10" xfId="0" applyFont="1" applyBorder="1" applyProtection="1"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25" fillId="0" borderId="5" xfId="0" applyFont="1" applyBorder="1" applyProtection="1">
      <protection hidden="1"/>
    </xf>
    <xf numFmtId="0" fontId="25" fillId="0" borderId="6" xfId="0" applyFont="1" applyBorder="1" applyProtection="1">
      <protection hidden="1"/>
    </xf>
    <xf numFmtId="0" fontId="13" fillId="0" borderId="12" xfId="0" applyFont="1" applyBorder="1" applyAlignment="1" applyProtection="1">
      <alignment horizontal="center" wrapText="1"/>
      <protection hidden="1"/>
    </xf>
    <xf numFmtId="0" fontId="25" fillId="0" borderId="15" xfId="0" applyFont="1" applyBorder="1" applyProtection="1"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25" fillId="0" borderId="11" xfId="0" applyFont="1" applyBorder="1" applyProtection="1">
      <protection hidden="1"/>
    </xf>
    <xf numFmtId="0" fontId="13" fillId="0" borderId="14" xfId="0" applyFont="1" applyBorder="1" applyAlignment="1" applyProtection="1">
      <alignment horizontal="center" wrapText="1"/>
      <protection hidden="1"/>
    </xf>
    <xf numFmtId="0" fontId="17" fillId="7" borderId="21" xfId="0" applyFont="1" applyFill="1" applyBorder="1" applyAlignment="1" applyProtection="1">
      <alignment horizontal="center" vertical="center"/>
      <protection hidden="1"/>
    </xf>
    <xf numFmtId="0" fontId="25" fillId="0" borderId="26" xfId="0" applyFont="1" applyBorder="1" applyProtection="1">
      <protection hidden="1"/>
    </xf>
    <xf numFmtId="0" fontId="25" fillId="0" borderId="19" xfId="0" applyFont="1" applyBorder="1" applyProtection="1">
      <protection hidden="1"/>
    </xf>
  </cellXfs>
  <cellStyles count="5">
    <cellStyle name="Millares" xfId="3" builtinId="3"/>
    <cellStyle name="Moneda" xfId="4" builtinId="4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956584</xdr:colOff>
      <xdr:row>0</xdr:row>
      <xdr:rowOff>122465</xdr:rowOff>
    </xdr:from>
    <xdr:to>
      <xdr:col>31</xdr:col>
      <xdr:colOff>176896</xdr:colOff>
      <xdr:row>3</xdr:row>
      <xdr:rowOff>312966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7243084" y="122465"/>
          <a:ext cx="2486026" cy="8028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81643</xdr:colOff>
      <xdr:row>0</xdr:row>
      <xdr:rowOff>40821</xdr:rowOff>
    </xdr:from>
    <xdr:to>
      <xdr:col>9</xdr:col>
      <xdr:colOff>253220</xdr:colOff>
      <xdr:row>3</xdr:row>
      <xdr:rowOff>43689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40821"/>
          <a:ext cx="1736399" cy="615189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102330</xdr:colOff>
      <xdr:row>0</xdr:row>
      <xdr:rowOff>0</xdr:rowOff>
    </xdr:from>
    <xdr:to>
      <xdr:col>9</xdr:col>
      <xdr:colOff>287515</xdr:colOff>
      <xdr:row>3</xdr:row>
      <xdr:rowOff>55863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437" y="0"/>
          <a:ext cx="1736399" cy="62736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12</xdr:col>
      <xdr:colOff>1279072</xdr:colOff>
      <xdr:row>1</xdr:row>
      <xdr:rowOff>95250</xdr:rowOff>
    </xdr:from>
    <xdr:to>
      <xdr:col>30</xdr:col>
      <xdr:colOff>95250</xdr:colOff>
      <xdr:row>3</xdr:row>
      <xdr:rowOff>367393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15335251" y="95250"/>
          <a:ext cx="2626178" cy="843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8"/>
  <sheetViews>
    <sheetView showGridLines="0" workbookViewId="0">
      <pane ySplit="2" topLeftCell="A3" activePane="bottomLeft" state="frozen"/>
      <selection activeCell="J5" sqref="J5"/>
      <selection pane="bottomLeft" activeCell="C5" sqref="C5"/>
    </sheetView>
  </sheetViews>
  <sheetFormatPr baseColWidth="10" defaultColWidth="17.28515625" defaultRowHeight="15" customHeight="1"/>
  <cols>
    <col min="1" max="1" width="2.85546875" customWidth="1"/>
    <col min="2" max="3" width="10.140625" customWidth="1"/>
    <col min="4" max="4" width="14.140625" bestFit="1" customWidth="1"/>
    <col min="5" max="5" width="10.28515625" customWidth="1"/>
    <col min="6" max="7" width="9.140625" customWidth="1"/>
    <col min="8" max="8" width="8.85546875" customWidth="1"/>
    <col min="9" max="10" width="19.140625" customWidth="1"/>
    <col min="11" max="11" width="10.28515625" bestFit="1" customWidth="1"/>
    <col min="12" max="12" width="11.7109375" bestFit="1" customWidth="1"/>
    <col min="13" max="13" width="7.7109375" bestFit="1" customWidth="1"/>
  </cols>
  <sheetData>
    <row r="1" spans="2:22">
      <c r="I1" s="1"/>
      <c r="J1" s="1"/>
    </row>
    <row r="2" spans="2:22">
      <c r="B2" s="2" t="s">
        <v>0</v>
      </c>
    </row>
    <row r="4" spans="2:22">
      <c r="B4" s="3" t="s">
        <v>1</v>
      </c>
      <c r="C4" s="4" t="s">
        <v>86</v>
      </c>
      <c r="I4" s="5" t="s">
        <v>78</v>
      </c>
      <c r="J4" s="5" t="s">
        <v>79</v>
      </c>
      <c r="K4" s="5" t="s">
        <v>2</v>
      </c>
      <c r="L4" s="5" t="s">
        <v>3</v>
      </c>
      <c r="M4" s="5" t="s">
        <v>4</v>
      </c>
      <c r="O4" s="150" t="s">
        <v>80</v>
      </c>
      <c r="P4" s="150" t="s">
        <v>81</v>
      </c>
      <c r="Q4" s="150" t="s">
        <v>82</v>
      </c>
      <c r="R4" s="150" t="s">
        <v>83</v>
      </c>
      <c r="S4" t="s">
        <v>76</v>
      </c>
      <c r="T4" t="s">
        <v>77</v>
      </c>
      <c r="U4" t="s">
        <v>76</v>
      </c>
      <c r="V4" t="s">
        <v>77</v>
      </c>
    </row>
    <row r="5" spans="2:22">
      <c r="B5" s="3" t="s">
        <v>5</v>
      </c>
      <c r="C5" s="171">
        <v>44789</v>
      </c>
      <c r="E5" s="3" t="s">
        <v>6</v>
      </c>
      <c r="F5" s="7">
        <v>44773</v>
      </c>
      <c r="I5" s="7">
        <f>+F5</f>
        <v>44773</v>
      </c>
      <c r="J5" s="7">
        <f>+EOMONTH(K6,-2)</f>
        <v>44804</v>
      </c>
      <c r="K5" s="7">
        <v>44824</v>
      </c>
      <c r="L5" s="163">
        <v>32074900</v>
      </c>
      <c r="M5" s="8">
        <f>+'Calculadora VDFA'!M6</f>
        <v>0.61</v>
      </c>
      <c r="N5" s="149">
        <f>+J5-I5</f>
        <v>31</v>
      </c>
      <c r="O5" s="149">
        <v>-2</v>
      </c>
      <c r="P5" s="149">
        <v>30</v>
      </c>
      <c r="Q5" s="149"/>
      <c r="R5" s="149"/>
      <c r="S5" s="127"/>
      <c r="T5" s="127"/>
    </row>
    <row r="6" spans="2:22">
      <c r="I6" s="7">
        <f>+J5+1</f>
        <v>44805</v>
      </c>
      <c r="J6" s="7">
        <f>+EOMONTH(K6,-1)</f>
        <v>44834</v>
      </c>
      <c r="K6" s="7">
        <v>44854</v>
      </c>
      <c r="L6" s="163">
        <v>32225112</v>
      </c>
      <c r="M6" s="8">
        <f>+'Calculadora VDFA'!M6</f>
        <v>0.61</v>
      </c>
      <c r="N6" s="149">
        <f>+J6-I6</f>
        <v>29</v>
      </c>
      <c r="O6" s="149">
        <v>0</v>
      </c>
      <c r="P6" s="149">
        <v>30</v>
      </c>
      <c r="Q6" s="149"/>
      <c r="R6" s="149"/>
      <c r="S6" s="127"/>
      <c r="T6" s="127"/>
    </row>
    <row r="7" spans="2:22">
      <c r="B7" s="9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I7" s="7">
        <f t="shared" ref="I7:I49" si="0">+J6+1</f>
        <v>44835</v>
      </c>
      <c r="J7" s="7">
        <f t="shared" ref="J7:J49" si="1">+EOMONTH(K7,-1)</f>
        <v>44865</v>
      </c>
      <c r="K7" s="7">
        <v>44886</v>
      </c>
      <c r="L7" s="163">
        <v>31618510</v>
      </c>
      <c r="M7" s="8">
        <f t="shared" ref="M7:M49" si="2">+M6</f>
        <v>0.61</v>
      </c>
      <c r="N7" s="149">
        <f>+J7-I7</f>
        <v>30</v>
      </c>
      <c r="O7" s="149">
        <v>-1</v>
      </c>
      <c r="P7" s="149">
        <v>30</v>
      </c>
      <c r="Q7" s="149"/>
      <c r="R7" s="149"/>
      <c r="S7" s="127"/>
      <c r="T7" s="127"/>
    </row>
    <row r="8" spans="2:22">
      <c r="B8" s="10" t="s">
        <v>13</v>
      </c>
      <c r="C8" s="168">
        <v>257210000</v>
      </c>
      <c r="D8" s="169">
        <v>0.51</v>
      </c>
      <c r="E8" s="169">
        <v>0.01</v>
      </c>
      <c r="F8" s="169">
        <v>0.61</v>
      </c>
      <c r="G8" s="170"/>
      <c r="H8" s="167" t="s">
        <v>87</v>
      </c>
      <c r="I8" s="7">
        <f t="shared" si="0"/>
        <v>44866</v>
      </c>
      <c r="J8" s="7">
        <f t="shared" si="1"/>
        <v>44895</v>
      </c>
      <c r="K8" s="7">
        <v>44915</v>
      </c>
      <c r="L8" s="163">
        <v>30815944</v>
      </c>
      <c r="M8" s="8">
        <f t="shared" si="2"/>
        <v>0.61</v>
      </c>
      <c r="N8" s="149">
        <f t="shared" ref="N8:N49" si="3">+J8-I8</f>
        <v>29</v>
      </c>
      <c r="O8" s="149">
        <v>0</v>
      </c>
      <c r="P8" s="149">
        <v>30</v>
      </c>
      <c r="Q8" s="149"/>
      <c r="R8" s="149"/>
      <c r="S8" s="127"/>
      <c r="T8" s="127"/>
    </row>
    <row r="9" spans="2:22">
      <c r="B9" s="10" t="s">
        <v>14</v>
      </c>
      <c r="C9" s="168">
        <v>25110000</v>
      </c>
      <c r="D9" s="169">
        <v>0.51</v>
      </c>
      <c r="E9" s="169">
        <v>0.02</v>
      </c>
      <c r="F9" s="169">
        <v>0.63</v>
      </c>
      <c r="G9" s="170"/>
      <c r="H9" s="167" t="s">
        <v>88</v>
      </c>
      <c r="I9" s="7">
        <f t="shared" si="0"/>
        <v>44896</v>
      </c>
      <c r="J9" s="7">
        <f t="shared" si="1"/>
        <v>44926</v>
      </c>
      <c r="K9" s="7">
        <v>44946</v>
      </c>
      <c r="L9" s="163">
        <v>30098700</v>
      </c>
      <c r="M9" s="8">
        <f t="shared" si="2"/>
        <v>0.61</v>
      </c>
      <c r="N9" s="149">
        <f t="shared" si="3"/>
        <v>30</v>
      </c>
      <c r="O9" s="149">
        <v>-1</v>
      </c>
      <c r="P9" s="149">
        <v>30</v>
      </c>
      <c r="Q9" s="149"/>
      <c r="R9" s="149"/>
      <c r="S9" s="127"/>
      <c r="T9" s="127"/>
    </row>
    <row r="10" spans="2:22">
      <c r="B10" s="10" t="s">
        <v>15</v>
      </c>
      <c r="C10" s="6"/>
      <c r="D10" s="11"/>
      <c r="E10" s="11"/>
      <c r="F10" s="11"/>
      <c r="G10" s="12"/>
      <c r="H10" s="116"/>
      <c r="I10" s="7">
        <f t="shared" si="0"/>
        <v>44927</v>
      </c>
      <c r="J10" s="7">
        <f t="shared" si="1"/>
        <v>44957</v>
      </c>
      <c r="K10" s="7">
        <v>44977</v>
      </c>
      <c r="L10" s="163">
        <v>30320082</v>
      </c>
      <c r="M10" s="8">
        <f t="shared" si="2"/>
        <v>0.61</v>
      </c>
      <c r="N10" s="149">
        <f t="shared" si="3"/>
        <v>30</v>
      </c>
      <c r="O10" s="149">
        <v>-1</v>
      </c>
      <c r="P10" s="149">
        <v>30</v>
      </c>
      <c r="Q10" s="149"/>
      <c r="R10" s="149"/>
      <c r="S10" s="127"/>
      <c r="T10" s="127"/>
    </row>
    <row r="11" spans="2:22">
      <c r="B11" s="10" t="s">
        <v>16</v>
      </c>
      <c r="C11" s="6"/>
      <c r="D11" s="11"/>
      <c r="E11" s="11"/>
      <c r="F11" s="11"/>
      <c r="G11" s="11"/>
      <c r="H11" s="116"/>
      <c r="I11" s="7">
        <f t="shared" si="0"/>
        <v>44958</v>
      </c>
      <c r="J11" s="7">
        <f t="shared" si="1"/>
        <v>44985</v>
      </c>
      <c r="K11" s="7">
        <v>45005</v>
      </c>
      <c r="L11" s="163">
        <v>29221545</v>
      </c>
      <c r="M11" s="8">
        <f t="shared" si="2"/>
        <v>0.61</v>
      </c>
      <c r="N11" s="149">
        <f>+J11-I11</f>
        <v>27</v>
      </c>
      <c r="O11" s="149">
        <v>2</v>
      </c>
      <c r="P11" s="149">
        <v>30</v>
      </c>
      <c r="Q11" s="149"/>
      <c r="R11" s="149"/>
      <c r="S11" s="127"/>
      <c r="T11" s="127"/>
      <c r="V11" s="127"/>
    </row>
    <row r="12" spans="2:22">
      <c r="E12" s="119"/>
      <c r="I12" s="7">
        <f t="shared" si="0"/>
        <v>44986</v>
      </c>
      <c r="J12" s="7">
        <f t="shared" si="1"/>
        <v>45016</v>
      </c>
      <c r="K12" s="7">
        <v>45036</v>
      </c>
      <c r="L12" s="163">
        <v>27979694</v>
      </c>
      <c r="M12" s="8">
        <f t="shared" si="2"/>
        <v>0.61</v>
      </c>
      <c r="N12" s="149">
        <f t="shared" si="3"/>
        <v>30</v>
      </c>
      <c r="O12" s="149">
        <v>-1</v>
      </c>
      <c r="P12" s="149">
        <v>30</v>
      </c>
      <c r="Q12" s="149"/>
      <c r="R12" s="149"/>
      <c r="U12" s="127"/>
      <c r="V12" s="127"/>
    </row>
    <row r="13" spans="2:22">
      <c r="B13" s="3" t="s">
        <v>17</v>
      </c>
      <c r="C13" s="13">
        <v>1</v>
      </c>
      <c r="I13" s="7">
        <f t="shared" si="0"/>
        <v>45017</v>
      </c>
      <c r="J13" s="7">
        <f t="shared" si="1"/>
        <v>45046</v>
      </c>
      <c r="K13" s="7">
        <v>45068</v>
      </c>
      <c r="L13" s="163">
        <v>26117205</v>
      </c>
      <c r="M13" s="8">
        <f t="shared" si="2"/>
        <v>0.61</v>
      </c>
      <c r="N13" s="149">
        <f t="shared" si="3"/>
        <v>29</v>
      </c>
      <c r="O13" s="149">
        <v>0</v>
      </c>
      <c r="P13" s="149">
        <v>30</v>
      </c>
      <c r="Q13" s="149"/>
      <c r="R13" s="149"/>
      <c r="S13" s="6"/>
      <c r="T13" s="6"/>
      <c r="U13" s="127"/>
      <c r="V13" s="127"/>
    </row>
    <row r="14" spans="2:22">
      <c r="I14" s="7">
        <f t="shared" si="0"/>
        <v>45047</v>
      </c>
      <c r="J14" s="7">
        <f t="shared" si="1"/>
        <v>45077</v>
      </c>
      <c r="K14" s="7">
        <v>45098</v>
      </c>
      <c r="L14" s="163">
        <v>23126253</v>
      </c>
      <c r="M14" s="8">
        <f t="shared" si="2"/>
        <v>0.61</v>
      </c>
      <c r="N14" s="149">
        <f t="shared" si="3"/>
        <v>30</v>
      </c>
      <c r="O14" s="149">
        <v>-1</v>
      </c>
      <c r="P14" s="149">
        <v>30</v>
      </c>
      <c r="S14" s="6"/>
      <c r="T14" s="6"/>
    </row>
    <row r="15" spans="2:22">
      <c r="I15" s="7">
        <f t="shared" si="0"/>
        <v>45078</v>
      </c>
      <c r="J15" s="7">
        <f t="shared" si="1"/>
        <v>45107</v>
      </c>
      <c r="K15" s="7">
        <v>45127</v>
      </c>
      <c r="L15" s="163">
        <v>18874872</v>
      </c>
      <c r="M15" s="8">
        <f t="shared" si="2"/>
        <v>0.61</v>
      </c>
      <c r="N15" s="149">
        <f>+J15-I15</f>
        <v>29</v>
      </c>
      <c r="O15" s="149">
        <v>0</v>
      </c>
      <c r="P15" s="149">
        <v>30</v>
      </c>
      <c r="S15" s="6"/>
      <c r="T15" s="6"/>
      <c r="U15" s="6"/>
      <c r="V15" s="6"/>
    </row>
    <row r="16" spans="2:22" ht="15.75" thickBot="1">
      <c r="I16" s="7">
        <f t="shared" si="0"/>
        <v>45108</v>
      </c>
      <c r="J16" s="7">
        <f t="shared" si="1"/>
        <v>45138</v>
      </c>
      <c r="K16" s="7">
        <v>45159</v>
      </c>
      <c r="L16" s="163">
        <v>15939636</v>
      </c>
      <c r="M16" s="8">
        <f t="shared" si="2"/>
        <v>0.61</v>
      </c>
      <c r="N16" s="149">
        <f t="shared" si="3"/>
        <v>30</v>
      </c>
      <c r="O16" s="149">
        <v>-1</v>
      </c>
      <c r="P16" s="149">
        <v>30</v>
      </c>
      <c r="S16" s="6"/>
      <c r="T16" s="6"/>
    </row>
    <row r="17" spans="2:20" ht="15.75" thickBot="1">
      <c r="C17" s="157">
        <v>44314</v>
      </c>
      <c r="D17" s="158">
        <v>33.9375</v>
      </c>
      <c r="I17" s="7">
        <f t="shared" si="0"/>
        <v>45139</v>
      </c>
      <c r="J17" s="7">
        <f t="shared" si="1"/>
        <v>45169</v>
      </c>
      <c r="K17" s="7">
        <v>45189</v>
      </c>
      <c r="L17" s="163">
        <v>15282452</v>
      </c>
      <c r="M17" s="8">
        <f t="shared" si="2"/>
        <v>0.61</v>
      </c>
      <c r="N17" s="149">
        <f t="shared" si="3"/>
        <v>30</v>
      </c>
      <c r="O17" s="149">
        <v>0</v>
      </c>
      <c r="P17" s="149">
        <v>30</v>
      </c>
      <c r="S17" s="6"/>
      <c r="T17" s="6"/>
    </row>
    <row r="18" spans="2:20" ht="15.75" thickBot="1">
      <c r="C18" s="157">
        <v>44315</v>
      </c>
      <c r="D18" s="158">
        <v>34.1875</v>
      </c>
      <c r="I18" s="7">
        <f t="shared" si="0"/>
        <v>45170</v>
      </c>
      <c r="J18" s="7">
        <f t="shared" si="1"/>
        <v>45199</v>
      </c>
      <c r="K18" s="7">
        <v>45219</v>
      </c>
      <c r="L18" s="163">
        <v>14219818</v>
      </c>
      <c r="M18" s="8">
        <f t="shared" si="2"/>
        <v>0.61</v>
      </c>
      <c r="N18" s="149">
        <f t="shared" si="3"/>
        <v>29</v>
      </c>
      <c r="O18" s="149">
        <v>1</v>
      </c>
      <c r="P18" s="149">
        <v>30</v>
      </c>
      <c r="S18" s="6"/>
      <c r="T18" s="126"/>
    </row>
    <row r="19" spans="2:20" ht="15.75" thickBot="1">
      <c r="C19" s="157">
        <v>44316</v>
      </c>
      <c r="D19" s="158">
        <v>34.0625</v>
      </c>
      <c r="I19" s="7">
        <f t="shared" si="0"/>
        <v>45200</v>
      </c>
      <c r="J19" s="7">
        <f t="shared" si="1"/>
        <v>45230</v>
      </c>
      <c r="K19" s="7">
        <v>45250</v>
      </c>
      <c r="L19" s="163">
        <v>13035523</v>
      </c>
      <c r="M19" s="8">
        <f t="shared" si="2"/>
        <v>0.61</v>
      </c>
      <c r="N19" s="149">
        <f t="shared" si="3"/>
        <v>30</v>
      </c>
      <c r="P19" s="149">
        <v>30</v>
      </c>
    </row>
    <row r="20" spans="2:20">
      <c r="D20">
        <f>+AVERAGE(D17:D19)</f>
        <v>34.0625</v>
      </c>
      <c r="I20" s="7">
        <f t="shared" si="0"/>
        <v>45231</v>
      </c>
      <c r="J20" s="7">
        <f t="shared" si="1"/>
        <v>45260</v>
      </c>
      <c r="K20" s="7">
        <v>45280</v>
      </c>
      <c r="L20" s="163">
        <v>10334777</v>
      </c>
      <c r="M20" s="8">
        <f t="shared" si="2"/>
        <v>0.61</v>
      </c>
      <c r="N20" s="149">
        <f t="shared" si="3"/>
        <v>29</v>
      </c>
      <c r="P20" s="149">
        <v>30</v>
      </c>
    </row>
    <row r="21" spans="2:20">
      <c r="I21" s="7">
        <f t="shared" si="0"/>
        <v>45261</v>
      </c>
      <c r="J21" s="7">
        <f t="shared" si="1"/>
        <v>45291</v>
      </c>
      <c r="K21" s="7">
        <v>45313</v>
      </c>
      <c r="L21" s="163">
        <v>11644498</v>
      </c>
      <c r="M21" s="8">
        <f t="shared" si="2"/>
        <v>0.61</v>
      </c>
      <c r="N21" s="149">
        <f t="shared" si="3"/>
        <v>30</v>
      </c>
      <c r="P21" s="149">
        <v>30</v>
      </c>
    </row>
    <row r="22" spans="2:20">
      <c r="I22" s="7">
        <f t="shared" si="0"/>
        <v>45292</v>
      </c>
      <c r="J22" s="7">
        <f t="shared" si="1"/>
        <v>45322</v>
      </c>
      <c r="K22" s="7">
        <v>45342</v>
      </c>
      <c r="L22" s="163">
        <v>10943958</v>
      </c>
      <c r="M22" s="8">
        <f t="shared" si="2"/>
        <v>0.61</v>
      </c>
      <c r="N22" s="149">
        <f t="shared" si="3"/>
        <v>30</v>
      </c>
      <c r="P22" s="149">
        <v>30</v>
      </c>
    </row>
    <row r="23" spans="2:20" ht="15.75" thickBot="1">
      <c r="I23" s="7">
        <f t="shared" si="0"/>
        <v>45323</v>
      </c>
      <c r="J23" s="7">
        <f t="shared" si="1"/>
        <v>45351</v>
      </c>
      <c r="K23" s="7">
        <v>45371</v>
      </c>
      <c r="L23" s="163">
        <v>9663022</v>
      </c>
      <c r="M23" s="8">
        <f t="shared" si="2"/>
        <v>0.61</v>
      </c>
      <c r="N23" s="149">
        <f t="shared" si="3"/>
        <v>28</v>
      </c>
      <c r="P23" s="149">
        <v>30</v>
      </c>
    </row>
    <row r="24" spans="2:20" ht="15.75" thickBot="1">
      <c r="B24" s="166"/>
      <c r="C24" s="166"/>
      <c r="D24" s="172"/>
      <c r="E24" s="172"/>
      <c r="I24" s="7">
        <f t="shared" si="0"/>
        <v>45352</v>
      </c>
      <c r="J24" s="7">
        <f t="shared" si="1"/>
        <v>45382</v>
      </c>
      <c r="K24" s="7">
        <v>45404</v>
      </c>
      <c r="L24" s="163">
        <v>8266908</v>
      </c>
      <c r="M24" s="8">
        <f t="shared" si="2"/>
        <v>0.61</v>
      </c>
      <c r="N24" s="149">
        <f t="shared" si="3"/>
        <v>30</v>
      </c>
      <c r="P24" s="149">
        <v>30</v>
      </c>
    </row>
    <row r="25" spans="2:20" ht="16.5" thickTop="1" thickBot="1">
      <c r="B25" s="164"/>
      <c r="C25" s="165"/>
      <c r="I25" s="7">
        <f t="shared" si="0"/>
        <v>45383</v>
      </c>
      <c r="J25" s="7">
        <f t="shared" si="1"/>
        <v>45412</v>
      </c>
      <c r="K25" s="7">
        <v>45432</v>
      </c>
      <c r="L25" s="163">
        <v>6935193</v>
      </c>
      <c r="M25" s="8">
        <f t="shared" si="2"/>
        <v>0.61</v>
      </c>
      <c r="N25" s="149">
        <f t="shared" si="3"/>
        <v>29</v>
      </c>
      <c r="P25" s="149">
        <v>30</v>
      </c>
    </row>
    <row r="26" spans="2:20" ht="15.75" thickBot="1">
      <c r="B26" s="164"/>
      <c r="C26" s="165"/>
      <c r="I26" s="7">
        <f t="shared" si="0"/>
        <v>45413</v>
      </c>
      <c r="J26" s="7">
        <f t="shared" si="1"/>
        <v>45443</v>
      </c>
      <c r="K26" s="7">
        <v>45464</v>
      </c>
      <c r="L26" s="163">
        <v>6578975</v>
      </c>
      <c r="M26" s="8">
        <f t="shared" si="2"/>
        <v>0.61</v>
      </c>
      <c r="N26" s="149">
        <f t="shared" si="3"/>
        <v>30</v>
      </c>
      <c r="P26" s="149">
        <v>30</v>
      </c>
    </row>
    <row r="27" spans="2:20" ht="15.75" thickBot="1">
      <c r="B27" s="164"/>
      <c r="C27" s="165"/>
      <c r="I27" s="7">
        <f t="shared" si="0"/>
        <v>45444</v>
      </c>
      <c r="J27" s="7">
        <f t="shared" si="1"/>
        <v>45473</v>
      </c>
      <c r="K27" s="7">
        <v>45495</v>
      </c>
      <c r="L27" s="163">
        <v>5585863</v>
      </c>
      <c r="M27" s="8">
        <f t="shared" si="2"/>
        <v>0.61</v>
      </c>
      <c r="N27" s="149">
        <f t="shared" si="3"/>
        <v>29</v>
      </c>
      <c r="P27" s="149">
        <v>30</v>
      </c>
    </row>
    <row r="28" spans="2:20" ht="15.75" thickBot="1">
      <c r="B28" s="164"/>
      <c r="C28" s="165"/>
      <c r="I28" s="7">
        <f t="shared" si="0"/>
        <v>45474</v>
      </c>
      <c r="J28" s="7">
        <f t="shared" si="1"/>
        <v>45504</v>
      </c>
      <c r="K28" s="7">
        <v>45524</v>
      </c>
      <c r="L28" s="163">
        <v>5340962</v>
      </c>
      <c r="M28" s="8">
        <f t="shared" si="2"/>
        <v>0.61</v>
      </c>
      <c r="N28" s="149">
        <f t="shared" si="3"/>
        <v>30</v>
      </c>
      <c r="P28" s="149">
        <v>30</v>
      </c>
    </row>
    <row r="29" spans="2:20" ht="15.75" thickBot="1">
      <c r="B29" s="164"/>
      <c r="C29" s="165"/>
      <c r="I29" s="7">
        <f t="shared" si="0"/>
        <v>45505</v>
      </c>
      <c r="J29" s="7">
        <f t="shared" si="1"/>
        <v>45535</v>
      </c>
      <c r="K29" s="7">
        <v>45555</v>
      </c>
      <c r="L29" s="163">
        <v>5233759</v>
      </c>
      <c r="M29" s="8">
        <f t="shared" si="2"/>
        <v>0.61</v>
      </c>
      <c r="N29" s="149">
        <f t="shared" si="3"/>
        <v>30</v>
      </c>
      <c r="P29" s="149">
        <v>30</v>
      </c>
    </row>
    <row r="30" spans="2:20" ht="15.75" thickBot="1">
      <c r="B30" s="164"/>
      <c r="C30" s="165"/>
      <c r="I30" s="7">
        <f t="shared" si="0"/>
        <v>45536</v>
      </c>
      <c r="J30" s="7">
        <f t="shared" si="1"/>
        <v>45565</v>
      </c>
      <c r="K30" s="7">
        <v>45586</v>
      </c>
      <c r="L30" s="163">
        <v>5101301</v>
      </c>
      <c r="M30" s="8">
        <f t="shared" si="2"/>
        <v>0.61</v>
      </c>
      <c r="N30" s="149">
        <f t="shared" si="3"/>
        <v>29</v>
      </c>
      <c r="P30" s="149">
        <v>30</v>
      </c>
    </row>
    <row r="31" spans="2:20" ht="15.75" thickBot="1">
      <c r="B31" s="164"/>
      <c r="C31" s="165"/>
      <c r="I31" s="7">
        <f t="shared" si="0"/>
        <v>45566</v>
      </c>
      <c r="J31" s="7">
        <f t="shared" si="1"/>
        <v>45596</v>
      </c>
      <c r="K31" s="7">
        <v>45616</v>
      </c>
      <c r="L31" s="168">
        <v>4867505</v>
      </c>
      <c r="M31" s="8">
        <f t="shared" si="2"/>
        <v>0.61</v>
      </c>
      <c r="N31" s="149">
        <f t="shared" si="3"/>
        <v>30</v>
      </c>
      <c r="P31" s="149">
        <v>30</v>
      </c>
    </row>
    <row r="32" spans="2:20" ht="15.75" thickBot="1">
      <c r="B32" s="164"/>
      <c r="C32" s="165"/>
      <c r="I32" s="7">
        <f t="shared" si="0"/>
        <v>45597</v>
      </c>
      <c r="J32" s="7">
        <f t="shared" si="1"/>
        <v>45626</v>
      </c>
      <c r="K32" s="7">
        <v>45646</v>
      </c>
      <c r="L32" s="168">
        <v>4825700</v>
      </c>
      <c r="M32" s="8">
        <f t="shared" si="2"/>
        <v>0.61</v>
      </c>
      <c r="N32" s="149">
        <f t="shared" si="3"/>
        <v>29</v>
      </c>
      <c r="P32" s="149">
        <v>30</v>
      </c>
    </row>
    <row r="33" spans="2:16" ht="15.75" thickBot="1">
      <c r="B33" s="164"/>
      <c r="C33" s="165"/>
      <c r="I33" s="7">
        <f t="shared" si="0"/>
        <v>45627</v>
      </c>
      <c r="J33" s="7">
        <f t="shared" si="1"/>
        <v>45657</v>
      </c>
      <c r="K33" s="7">
        <v>45677</v>
      </c>
      <c r="L33" s="168">
        <v>4741228</v>
      </c>
      <c r="M33" s="8">
        <f t="shared" si="2"/>
        <v>0.61</v>
      </c>
      <c r="N33" s="149">
        <f t="shared" si="3"/>
        <v>30</v>
      </c>
      <c r="P33" s="149">
        <v>30</v>
      </c>
    </row>
    <row r="34" spans="2:16" ht="15.75" thickBot="1">
      <c r="B34" s="164"/>
      <c r="C34" s="165"/>
      <c r="I34" s="7">
        <f t="shared" si="0"/>
        <v>45658</v>
      </c>
      <c r="J34" s="7">
        <f t="shared" si="1"/>
        <v>45688</v>
      </c>
      <c r="K34" s="7">
        <v>45708</v>
      </c>
      <c r="L34" s="168">
        <v>4045023</v>
      </c>
      <c r="M34" s="8">
        <f t="shared" si="2"/>
        <v>0.61</v>
      </c>
      <c r="N34" s="149">
        <f t="shared" si="3"/>
        <v>30</v>
      </c>
      <c r="P34" s="149">
        <v>30</v>
      </c>
    </row>
    <row r="35" spans="2:16" ht="15.75" thickBot="1">
      <c r="B35" s="164"/>
      <c r="C35" s="165"/>
      <c r="I35" s="7">
        <f t="shared" si="0"/>
        <v>45689</v>
      </c>
      <c r="J35" s="7">
        <f t="shared" si="1"/>
        <v>45716</v>
      </c>
      <c r="K35" s="7">
        <v>45736</v>
      </c>
      <c r="L35" s="168">
        <v>3123474</v>
      </c>
      <c r="M35" s="8">
        <f t="shared" si="2"/>
        <v>0.61</v>
      </c>
      <c r="N35" s="149">
        <f t="shared" si="3"/>
        <v>27</v>
      </c>
      <c r="P35" s="149">
        <v>30</v>
      </c>
    </row>
    <row r="36" spans="2:16" ht="15.75" thickBot="1">
      <c r="B36" s="164"/>
      <c r="C36" s="165"/>
      <c r="I36" s="7">
        <f t="shared" si="0"/>
        <v>45717</v>
      </c>
      <c r="J36" s="7">
        <f t="shared" si="1"/>
        <v>45747</v>
      </c>
      <c r="K36" s="7">
        <v>45768</v>
      </c>
      <c r="L36" s="168">
        <v>2323480</v>
      </c>
      <c r="M36" s="8">
        <f t="shared" si="2"/>
        <v>0.61</v>
      </c>
      <c r="N36" s="149">
        <f t="shared" si="3"/>
        <v>30</v>
      </c>
      <c r="P36" s="149">
        <v>30</v>
      </c>
    </row>
    <row r="37" spans="2:16" ht="15.75" thickBot="1">
      <c r="B37" s="164"/>
      <c r="C37" s="165"/>
      <c r="I37" s="7">
        <f t="shared" si="0"/>
        <v>45748</v>
      </c>
      <c r="J37" s="7">
        <f t="shared" si="1"/>
        <v>45777</v>
      </c>
      <c r="K37" s="7">
        <v>45797</v>
      </c>
      <c r="L37" s="168">
        <v>1388268</v>
      </c>
      <c r="M37" s="8">
        <f t="shared" si="2"/>
        <v>0.61</v>
      </c>
      <c r="N37" s="149">
        <f t="shared" si="3"/>
        <v>29</v>
      </c>
      <c r="P37" s="149">
        <v>30</v>
      </c>
    </row>
    <row r="38" spans="2:16" ht="15.75" thickBot="1">
      <c r="B38" s="164"/>
      <c r="C38" s="165"/>
      <c r="I38" s="7">
        <f t="shared" si="0"/>
        <v>45778</v>
      </c>
      <c r="J38" s="7">
        <f t="shared" si="1"/>
        <v>45808</v>
      </c>
      <c r="K38" s="7">
        <v>45831</v>
      </c>
      <c r="L38" s="168">
        <v>845306</v>
      </c>
      <c r="M38" s="8">
        <f t="shared" si="2"/>
        <v>0.61</v>
      </c>
      <c r="N38" s="149">
        <f t="shared" si="3"/>
        <v>30</v>
      </c>
      <c r="P38" s="149">
        <v>30</v>
      </c>
    </row>
    <row r="39" spans="2:16" ht="15.75" thickBot="1">
      <c r="B39" s="164"/>
      <c r="C39" s="165"/>
      <c r="I39" s="7">
        <f t="shared" si="0"/>
        <v>45809</v>
      </c>
      <c r="J39" s="7">
        <f t="shared" si="1"/>
        <v>45838</v>
      </c>
      <c r="K39" s="7">
        <v>45859</v>
      </c>
      <c r="L39" s="168">
        <v>309807</v>
      </c>
      <c r="M39" s="8">
        <f t="shared" si="2"/>
        <v>0.61</v>
      </c>
      <c r="N39" s="149">
        <f t="shared" si="3"/>
        <v>29</v>
      </c>
      <c r="P39" s="149">
        <v>30</v>
      </c>
    </row>
    <row r="40" spans="2:16" ht="15.75" thickBot="1">
      <c r="B40" s="164"/>
      <c r="C40" s="165"/>
      <c r="I40" s="7">
        <f t="shared" si="0"/>
        <v>45839</v>
      </c>
      <c r="J40" s="7">
        <f t="shared" si="1"/>
        <v>45869</v>
      </c>
      <c r="K40" s="7">
        <v>45889</v>
      </c>
      <c r="L40" s="168">
        <v>142596</v>
      </c>
      <c r="M40" s="8">
        <f t="shared" si="2"/>
        <v>0.61</v>
      </c>
      <c r="N40" s="149">
        <f t="shared" si="3"/>
        <v>30</v>
      </c>
      <c r="P40" s="149">
        <v>30</v>
      </c>
    </row>
    <row r="41" spans="2:16" ht="15.75" thickBot="1">
      <c r="B41" s="164"/>
      <c r="C41" s="165"/>
      <c r="I41" s="7">
        <f t="shared" si="0"/>
        <v>45870</v>
      </c>
      <c r="J41" s="7">
        <f t="shared" si="1"/>
        <v>45900</v>
      </c>
      <c r="K41" s="7">
        <v>45922</v>
      </c>
      <c r="L41" s="168">
        <v>330870</v>
      </c>
      <c r="M41" s="8">
        <f t="shared" si="2"/>
        <v>0.61</v>
      </c>
      <c r="N41" s="149">
        <f t="shared" si="3"/>
        <v>30</v>
      </c>
      <c r="P41" s="149">
        <v>30</v>
      </c>
    </row>
    <row r="42" spans="2:16" ht="15.75" thickBot="1">
      <c r="B42" s="164"/>
      <c r="C42" s="165"/>
      <c r="I42" s="7">
        <f t="shared" si="0"/>
        <v>45901</v>
      </c>
      <c r="J42" s="7">
        <f t="shared" si="1"/>
        <v>45930</v>
      </c>
      <c r="K42" s="7">
        <v>45950</v>
      </c>
      <c r="L42" s="168">
        <v>321544</v>
      </c>
      <c r="M42" s="8">
        <f t="shared" si="2"/>
        <v>0.61</v>
      </c>
      <c r="N42" s="149">
        <f t="shared" si="3"/>
        <v>29</v>
      </c>
      <c r="P42" s="149">
        <v>30</v>
      </c>
    </row>
    <row r="43" spans="2:16" ht="15.75" thickBot="1">
      <c r="B43" s="164"/>
      <c r="C43" s="165"/>
      <c r="I43" s="7">
        <f t="shared" si="0"/>
        <v>45931</v>
      </c>
      <c r="J43" s="7" t="e">
        <f t="shared" si="1"/>
        <v>#NUM!</v>
      </c>
      <c r="K43" s="7"/>
      <c r="L43" s="168"/>
      <c r="M43" s="8">
        <f t="shared" si="2"/>
        <v>0.61</v>
      </c>
      <c r="N43" s="149" t="e">
        <f t="shared" si="3"/>
        <v>#NUM!</v>
      </c>
      <c r="P43" s="149">
        <v>30</v>
      </c>
    </row>
    <row r="44" spans="2:16" ht="15.75" thickBot="1">
      <c r="B44" s="164"/>
      <c r="C44" s="165"/>
      <c r="I44" s="7" t="e">
        <f t="shared" si="0"/>
        <v>#NUM!</v>
      </c>
      <c r="J44" s="7" t="e">
        <f t="shared" si="1"/>
        <v>#NUM!</v>
      </c>
      <c r="K44" s="7"/>
      <c r="L44" s="168"/>
      <c r="M44" s="8">
        <f t="shared" si="2"/>
        <v>0.61</v>
      </c>
      <c r="N44" s="149" t="e">
        <f t="shared" si="3"/>
        <v>#NUM!</v>
      </c>
      <c r="P44" s="149">
        <v>30</v>
      </c>
    </row>
    <row r="45" spans="2:16" ht="15.75" thickBot="1">
      <c r="B45" s="164"/>
      <c r="C45" s="165"/>
      <c r="I45" s="7" t="e">
        <f t="shared" si="0"/>
        <v>#NUM!</v>
      </c>
      <c r="J45" s="7" t="e">
        <f t="shared" si="1"/>
        <v>#NUM!</v>
      </c>
      <c r="K45" s="7"/>
      <c r="L45" s="168"/>
      <c r="M45" s="8">
        <f t="shared" si="2"/>
        <v>0.61</v>
      </c>
      <c r="N45" s="149" t="e">
        <f t="shared" si="3"/>
        <v>#NUM!</v>
      </c>
      <c r="P45" s="149">
        <v>30</v>
      </c>
    </row>
    <row r="46" spans="2:16">
      <c r="I46" s="7" t="e">
        <f t="shared" si="0"/>
        <v>#NUM!</v>
      </c>
      <c r="J46" s="7" t="e">
        <f t="shared" si="1"/>
        <v>#NUM!</v>
      </c>
      <c r="K46" s="7"/>
      <c r="L46" s="168"/>
      <c r="M46" s="8">
        <f t="shared" si="2"/>
        <v>0.61</v>
      </c>
      <c r="N46" s="149" t="e">
        <f t="shared" si="3"/>
        <v>#NUM!</v>
      </c>
      <c r="P46" s="149">
        <v>30</v>
      </c>
    </row>
    <row r="47" spans="2:16">
      <c r="I47" s="7" t="e">
        <f t="shared" si="0"/>
        <v>#NUM!</v>
      </c>
      <c r="J47" s="7" t="e">
        <f t="shared" si="1"/>
        <v>#NUM!</v>
      </c>
      <c r="K47" s="7"/>
      <c r="L47" s="168"/>
      <c r="M47" s="8">
        <f t="shared" si="2"/>
        <v>0.61</v>
      </c>
      <c r="N47" s="149" t="e">
        <f t="shared" si="3"/>
        <v>#NUM!</v>
      </c>
      <c r="P47" s="149">
        <v>30</v>
      </c>
    </row>
    <row r="48" spans="2:16">
      <c r="I48" s="7" t="e">
        <f t="shared" si="0"/>
        <v>#NUM!</v>
      </c>
      <c r="J48" s="7" t="e">
        <f t="shared" si="1"/>
        <v>#NUM!</v>
      </c>
      <c r="K48" s="7"/>
      <c r="L48" s="168"/>
      <c r="M48" s="8">
        <f t="shared" si="2"/>
        <v>0.61</v>
      </c>
      <c r="N48" s="149" t="e">
        <f t="shared" si="3"/>
        <v>#NUM!</v>
      </c>
      <c r="P48" s="149">
        <v>30</v>
      </c>
    </row>
    <row r="49" spans="9:16">
      <c r="I49" s="7" t="e">
        <f t="shared" si="0"/>
        <v>#NUM!</v>
      </c>
      <c r="J49" s="7" t="e">
        <f t="shared" si="1"/>
        <v>#NUM!</v>
      </c>
      <c r="K49" s="7"/>
      <c r="L49" s="168"/>
      <c r="M49" s="8">
        <f t="shared" si="2"/>
        <v>0.61</v>
      </c>
      <c r="N49" s="149" t="e">
        <f t="shared" si="3"/>
        <v>#NUM!</v>
      </c>
      <c r="P49" s="149">
        <v>30</v>
      </c>
    </row>
    <row r="50" spans="9:16">
      <c r="I50" s="7"/>
      <c r="J50" s="7"/>
      <c r="K50" s="7"/>
      <c r="L50" s="6"/>
      <c r="M50" s="8"/>
    </row>
    <row r="51" spans="9:16">
      <c r="I51" s="7"/>
      <c r="J51" s="7"/>
      <c r="K51" s="7"/>
      <c r="L51" s="6"/>
      <c r="M51" s="8"/>
    </row>
    <row r="52" spans="9:16">
      <c r="I52" s="7"/>
      <c r="J52" s="7"/>
      <c r="K52" s="7"/>
      <c r="L52" s="6"/>
      <c r="M52" s="8"/>
    </row>
    <row r="53" spans="9:16">
      <c r="I53" s="7"/>
      <c r="J53" s="7"/>
      <c r="K53" s="7"/>
      <c r="L53" s="6"/>
      <c r="M53" s="8"/>
    </row>
    <row r="54" spans="9:16">
      <c r="I54" s="7"/>
      <c r="J54" s="7"/>
      <c r="K54" s="7"/>
      <c r="L54" s="6"/>
      <c r="M54" s="8"/>
    </row>
    <row r="55" spans="9:16">
      <c r="I55" s="7"/>
      <c r="J55" s="7"/>
      <c r="K55" s="7"/>
      <c r="L55" s="6"/>
      <c r="M55" s="8"/>
    </row>
    <row r="56" spans="9:16">
      <c r="I56" s="7"/>
      <c r="J56" s="7"/>
      <c r="K56" s="7"/>
      <c r="L56" s="6"/>
      <c r="M56" s="8"/>
    </row>
    <row r="57" spans="9:16">
      <c r="I57" s="7"/>
      <c r="J57" s="7"/>
      <c r="K57" s="7"/>
      <c r="L57" s="6"/>
      <c r="M57" s="8"/>
    </row>
    <row r="58" spans="9:16">
      <c r="I58" s="7"/>
      <c r="J58" s="7"/>
      <c r="K58" s="7"/>
      <c r="L58" s="6"/>
      <c r="M58" s="8"/>
    </row>
    <row r="59" spans="9:16">
      <c r="I59" s="7"/>
      <c r="J59" s="7"/>
      <c r="K59" s="7"/>
      <c r="L59" s="6"/>
      <c r="M59" s="8"/>
    </row>
    <row r="60" spans="9:16">
      <c r="I60" s="7"/>
      <c r="J60" s="7"/>
      <c r="K60" s="7"/>
      <c r="L60" s="6"/>
      <c r="M60" s="8"/>
    </row>
    <row r="61" spans="9:16">
      <c r="I61" s="7"/>
      <c r="J61" s="7"/>
      <c r="K61" s="7"/>
      <c r="L61" s="6"/>
      <c r="M61" s="8"/>
    </row>
    <row r="62" spans="9:16">
      <c r="I62" s="7"/>
      <c r="J62" s="7"/>
      <c r="K62" s="7"/>
      <c r="L62" s="6"/>
      <c r="M62" s="8"/>
    </row>
    <row r="63" spans="9:16">
      <c r="I63" s="7"/>
      <c r="J63" s="7"/>
      <c r="K63" s="7"/>
      <c r="M63" s="8"/>
    </row>
    <row r="64" spans="9:16">
      <c r="I64" s="7"/>
      <c r="J64" s="7"/>
      <c r="K64" s="7"/>
      <c r="M64" s="8"/>
    </row>
    <row r="65" spans="9:13">
      <c r="I65" s="7"/>
      <c r="J65" s="7"/>
      <c r="K65" s="7"/>
      <c r="M65" s="8"/>
    </row>
    <row r="66" spans="9:13">
      <c r="I66" s="7"/>
      <c r="J66" s="7"/>
      <c r="K66" s="7"/>
      <c r="M66" s="8"/>
    </row>
    <row r="67" spans="9:13">
      <c r="I67" s="7"/>
      <c r="J67" s="7"/>
      <c r="K67" s="7"/>
      <c r="M67" s="8"/>
    </row>
    <row r="68" spans="9:13">
      <c r="I68" s="7"/>
      <c r="J68" s="7"/>
      <c r="K68" s="7"/>
      <c r="M68" s="8"/>
    </row>
    <row r="69" spans="9:13">
      <c r="I69" s="7"/>
      <c r="J69" s="7"/>
      <c r="K69" s="7"/>
      <c r="M69" s="8"/>
    </row>
    <row r="70" spans="9:13">
      <c r="I70" s="7"/>
      <c r="J70" s="7"/>
      <c r="K70" s="7"/>
      <c r="M70" s="8"/>
    </row>
    <row r="71" spans="9:13">
      <c r="I71" s="7"/>
      <c r="J71" s="7"/>
      <c r="K71" s="7"/>
      <c r="M71" s="8"/>
    </row>
    <row r="72" spans="9:13">
      <c r="I72" s="7"/>
      <c r="J72" s="7"/>
      <c r="K72" s="7"/>
      <c r="M72" s="8"/>
    </row>
    <row r="73" spans="9:13">
      <c r="I73" s="7"/>
      <c r="J73" s="7"/>
      <c r="K73" s="7"/>
      <c r="M73" s="8"/>
    </row>
    <row r="74" spans="9:13">
      <c r="I74" s="7"/>
      <c r="J74" s="7"/>
      <c r="K74" s="7"/>
      <c r="M74" s="8"/>
    </row>
    <row r="75" spans="9:13">
      <c r="I75" s="7"/>
      <c r="J75" s="7"/>
      <c r="K75" s="7"/>
      <c r="M75" s="8"/>
    </row>
    <row r="76" spans="9:13">
      <c r="I76" s="7"/>
      <c r="J76" s="7"/>
      <c r="K76" s="7"/>
      <c r="M76" s="8"/>
    </row>
    <row r="77" spans="9:13">
      <c r="I77" s="7"/>
      <c r="J77" s="7"/>
      <c r="K77" s="7"/>
      <c r="M77" s="8"/>
    </row>
    <row r="78" spans="9:13">
      <c r="I78" s="7"/>
      <c r="J78" s="7"/>
      <c r="K78" s="7"/>
      <c r="M7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B68"/>
  <sheetViews>
    <sheetView showGridLines="0" zoomScale="130" zoomScaleNormal="130" workbookViewId="0">
      <pane ySplit="3" topLeftCell="A4" activePane="bottomLeft" state="frozen"/>
      <selection pane="bottomLeft" activeCell="B4" sqref="B4"/>
    </sheetView>
  </sheetViews>
  <sheetFormatPr baseColWidth="10" defaultColWidth="17.28515625" defaultRowHeight="15" customHeight="1"/>
  <cols>
    <col min="1" max="1" width="2.85546875" customWidth="1"/>
    <col min="2" max="2" width="9.140625" customWidth="1"/>
    <col min="3" max="3" width="9.5703125" customWidth="1"/>
    <col min="4" max="4" width="2.85546875" customWidth="1"/>
    <col min="5" max="5" width="12.140625" customWidth="1"/>
    <col min="6" max="6" width="11.140625" customWidth="1"/>
    <col min="7" max="7" width="9.5703125" customWidth="1"/>
    <col min="8" max="8" width="17.7109375" bestFit="1" customWidth="1"/>
    <col min="9" max="9" width="17.7109375" customWidth="1"/>
    <col min="10" max="10" width="13.28515625" customWidth="1"/>
    <col min="11" max="11" width="15.28515625" bestFit="1" customWidth="1"/>
    <col min="12" max="12" width="12" customWidth="1"/>
    <col min="13" max="13" width="2.85546875" customWidth="1"/>
    <col min="14" max="14" width="9.140625" customWidth="1"/>
    <col min="15" max="15" width="11.42578125" customWidth="1"/>
    <col min="16" max="16" width="9.140625" customWidth="1"/>
    <col min="17" max="17" width="17.7109375" bestFit="1" customWidth="1"/>
    <col min="18" max="18" width="17.7109375" customWidth="1"/>
    <col min="19" max="19" width="15.5703125" bestFit="1" customWidth="1"/>
    <col min="20" max="20" width="15.28515625" bestFit="1" customWidth="1"/>
    <col min="21" max="21" width="11.42578125" customWidth="1"/>
    <col min="22" max="22" width="2.85546875" customWidth="1"/>
    <col min="23" max="29" width="9.140625" customWidth="1"/>
    <col min="30" max="30" width="2.85546875" customWidth="1"/>
    <col min="31" max="36" width="9.140625" customWidth="1"/>
    <col min="37" max="37" width="2.85546875" customWidth="1"/>
    <col min="38" max="38" width="9.140625" customWidth="1"/>
    <col min="39" max="39" width="2.85546875" customWidth="1"/>
    <col min="40" max="40" width="10.5703125" bestFit="1" customWidth="1"/>
    <col min="41" max="42" width="9.140625" customWidth="1"/>
    <col min="43" max="43" width="2.85546875" customWidth="1"/>
    <col min="44" max="44" width="10" customWidth="1"/>
    <col min="45" max="46" width="9.140625" customWidth="1"/>
    <col min="47" max="47" width="2.85546875" customWidth="1"/>
    <col min="48" max="48" width="10" customWidth="1"/>
    <col min="49" max="50" width="9.140625" customWidth="1"/>
    <col min="51" max="51" width="2.85546875" customWidth="1"/>
    <col min="52" max="52" width="10" customWidth="1"/>
    <col min="53" max="54" width="9.140625" customWidth="1"/>
    <col min="55" max="55" width="2.85546875" customWidth="1"/>
    <col min="56" max="56" width="10.5703125" customWidth="1"/>
    <col min="57" max="59" width="10" customWidth="1"/>
    <col min="60" max="60" width="2.85546875" customWidth="1"/>
    <col min="61" max="63" width="3" customWidth="1"/>
    <col min="64" max="64" width="10.7109375" customWidth="1"/>
    <col min="65" max="67" width="10.85546875" customWidth="1"/>
    <col min="68" max="76" width="7.42578125" customWidth="1"/>
    <col min="77" max="78" width="9.140625" customWidth="1"/>
    <col min="79" max="79" width="22.5703125" customWidth="1"/>
    <col min="80" max="80" width="8.140625" customWidth="1"/>
  </cols>
  <sheetData>
    <row r="2" spans="2:80">
      <c r="E2" s="14" t="s">
        <v>13</v>
      </c>
      <c r="N2" s="14" t="s">
        <v>14</v>
      </c>
      <c r="Q2" s="149">
        <f>+O9*P9/12</f>
        <v>1318275</v>
      </c>
      <c r="R2" s="149"/>
      <c r="W2" s="14" t="s">
        <v>15</v>
      </c>
      <c r="AE2" s="14" t="s">
        <v>16</v>
      </c>
      <c r="AL2" s="14" t="s">
        <v>18</v>
      </c>
      <c r="AN2" s="14" t="s">
        <v>13</v>
      </c>
      <c r="AR2" s="14" t="s">
        <v>14</v>
      </c>
      <c r="AV2" s="14" t="s">
        <v>15</v>
      </c>
      <c r="AZ2" s="14" t="s">
        <v>16</v>
      </c>
      <c r="BD2" s="14" t="s">
        <v>19</v>
      </c>
      <c r="BE2" s="14"/>
      <c r="BF2" s="14"/>
      <c r="BG2" s="14"/>
      <c r="BI2" s="14"/>
      <c r="BJ2" s="14"/>
      <c r="BK2" s="14"/>
      <c r="BN2" s="14" t="s">
        <v>20</v>
      </c>
      <c r="BP2" s="14"/>
      <c r="BQ2" s="14" t="s">
        <v>21</v>
      </c>
      <c r="BR2" s="14"/>
      <c r="BS2" s="14"/>
      <c r="BT2" s="14" t="s">
        <v>22</v>
      </c>
      <c r="BU2" s="14"/>
      <c r="BV2" s="14"/>
      <c r="BW2" s="14" t="s">
        <v>23</v>
      </c>
      <c r="BX2" s="14"/>
    </row>
    <row r="3" spans="2:80">
      <c r="B3" s="5" t="s">
        <v>24</v>
      </c>
      <c r="C3" s="5" t="s">
        <v>4</v>
      </c>
      <c r="E3" s="5" t="s">
        <v>3</v>
      </c>
      <c r="F3" s="5" t="s">
        <v>25</v>
      </c>
      <c r="G3" s="5" t="s">
        <v>26</v>
      </c>
      <c r="H3" s="5" t="s">
        <v>27</v>
      </c>
      <c r="I3" s="5" t="s">
        <v>84</v>
      </c>
      <c r="J3" s="5" t="s">
        <v>28</v>
      </c>
      <c r="K3" s="5" t="s">
        <v>29</v>
      </c>
      <c r="L3" s="5" t="s">
        <v>30</v>
      </c>
      <c r="N3" s="5" t="s">
        <v>3</v>
      </c>
      <c r="O3" s="5" t="s">
        <v>25</v>
      </c>
      <c r="P3" s="5" t="s">
        <v>26</v>
      </c>
      <c r="Q3" s="5" t="s">
        <v>27</v>
      </c>
      <c r="R3" s="5" t="s">
        <v>85</v>
      </c>
      <c r="S3" s="5" t="s">
        <v>28</v>
      </c>
      <c r="T3" s="5" t="s">
        <v>29</v>
      </c>
      <c r="U3" s="5" t="s">
        <v>30</v>
      </c>
      <c r="W3" s="5" t="s">
        <v>3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E3" s="5" t="s">
        <v>3</v>
      </c>
      <c r="AF3" s="5" t="s">
        <v>25</v>
      </c>
      <c r="AG3" s="5" t="s">
        <v>31</v>
      </c>
      <c r="AH3" s="5" t="s">
        <v>28</v>
      </c>
      <c r="AI3" s="5" t="s">
        <v>29</v>
      </c>
      <c r="AJ3" s="5" t="s">
        <v>30</v>
      </c>
      <c r="AL3" s="5" t="s">
        <v>32</v>
      </c>
      <c r="AN3" s="5" t="s">
        <v>33</v>
      </c>
      <c r="AO3" s="5" t="s">
        <v>34</v>
      </c>
      <c r="AP3" s="5" t="s">
        <v>18</v>
      </c>
      <c r="AR3" s="5" t="s">
        <v>33</v>
      </c>
      <c r="AS3" s="5" t="s">
        <v>34</v>
      </c>
      <c r="AT3" s="5" t="s">
        <v>18</v>
      </c>
      <c r="AV3" s="5" t="s">
        <v>33</v>
      </c>
      <c r="AW3" s="5" t="s">
        <v>34</v>
      </c>
      <c r="AX3" s="5" t="s">
        <v>18</v>
      </c>
      <c r="AZ3" s="5" t="s">
        <v>33</v>
      </c>
      <c r="BA3" s="5" t="s">
        <v>34</v>
      </c>
      <c r="BB3" s="5" t="s">
        <v>18</v>
      </c>
      <c r="BD3" s="5" t="s">
        <v>13</v>
      </c>
      <c r="BE3" s="5" t="s">
        <v>14</v>
      </c>
      <c r="BF3" s="5" t="s">
        <v>15</v>
      </c>
      <c r="BG3" s="5" t="s">
        <v>16</v>
      </c>
      <c r="BI3" s="14"/>
      <c r="BJ3" s="14"/>
      <c r="BK3" s="14" t="s">
        <v>35</v>
      </c>
      <c r="BL3" s="5" t="s">
        <v>36</v>
      </c>
      <c r="BM3" s="5" t="s">
        <v>37</v>
      </c>
      <c r="BN3" s="5" t="s">
        <v>38</v>
      </c>
      <c r="BO3" s="5" t="s">
        <v>39</v>
      </c>
      <c r="BP3" s="5" t="s">
        <v>37</v>
      </c>
      <c r="BQ3" s="5" t="s">
        <v>38</v>
      </c>
      <c r="BR3" s="14" t="s">
        <v>39</v>
      </c>
      <c r="BS3" s="5" t="s">
        <v>37</v>
      </c>
      <c r="BT3" s="5" t="s">
        <v>38</v>
      </c>
      <c r="BU3" s="14" t="s">
        <v>39</v>
      </c>
      <c r="BV3" s="5" t="s">
        <v>37</v>
      </c>
      <c r="BW3" s="5" t="s">
        <v>38</v>
      </c>
      <c r="BX3" s="14" t="s">
        <v>39</v>
      </c>
      <c r="BY3" s="5"/>
    </row>
    <row r="4" spans="2:80">
      <c r="B4" s="15">
        <f>Carga!C5</f>
        <v>44789</v>
      </c>
      <c r="C4" s="16"/>
      <c r="E4" s="17"/>
      <c r="F4" s="17"/>
      <c r="G4" s="18"/>
      <c r="H4" s="17"/>
      <c r="I4" s="17"/>
      <c r="J4" s="17"/>
      <c r="K4" s="17"/>
      <c r="L4" s="17"/>
      <c r="N4" s="16"/>
      <c r="O4" s="16"/>
      <c r="P4" s="16"/>
      <c r="Q4" s="16"/>
      <c r="R4" s="16"/>
      <c r="S4" s="16"/>
      <c r="T4" s="16"/>
      <c r="U4" s="16"/>
      <c r="W4" s="16"/>
      <c r="X4" s="16"/>
      <c r="Y4" s="16"/>
      <c r="Z4" s="16"/>
      <c r="AA4" s="16"/>
      <c r="AB4" s="16"/>
      <c r="AC4" s="16"/>
      <c r="AE4" s="16"/>
      <c r="AF4" s="16"/>
      <c r="AG4" s="16"/>
      <c r="AH4" s="16"/>
      <c r="AI4" s="16"/>
      <c r="AJ4" s="16"/>
      <c r="AL4" s="16"/>
      <c r="AN4" s="16" t="e">
        <f>-F5*BD66</f>
        <v>#NUM!</v>
      </c>
      <c r="AO4" s="16"/>
      <c r="AP4" s="16"/>
      <c r="AR4" s="16" t="e">
        <f>-O5*BE66</f>
        <v>#NUM!</v>
      </c>
      <c r="AS4" s="16"/>
      <c r="AT4" s="16"/>
      <c r="AV4" s="16" t="e">
        <f>-X5*BF66</f>
        <v>#NUM!</v>
      </c>
      <c r="AW4" s="16"/>
      <c r="AX4" s="16"/>
      <c r="AZ4" s="16">
        <f>-AF5</f>
        <v>0</v>
      </c>
      <c r="BA4" s="16"/>
      <c r="BB4" s="16"/>
      <c r="BD4" s="17">
        <v>0</v>
      </c>
      <c r="BE4" s="17">
        <v>0</v>
      </c>
      <c r="BF4" s="17">
        <v>0</v>
      </c>
      <c r="BG4" s="17">
        <v>0</v>
      </c>
      <c r="BI4" s="17"/>
      <c r="BJ4" s="17"/>
      <c r="BK4" s="17"/>
      <c r="BL4" s="17"/>
      <c r="BM4" s="17"/>
      <c r="BN4" s="17"/>
      <c r="BO4" s="17"/>
      <c r="BP4" s="16"/>
      <c r="BQ4" s="16"/>
      <c r="BR4" s="16"/>
      <c r="BS4" s="16"/>
      <c r="BT4" s="16"/>
      <c r="BU4" s="16"/>
      <c r="BV4" s="17"/>
      <c r="BW4" s="17"/>
      <c r="BX4" s="17"/>
      <c r="BY4" s="15"/>
    </row>
    <row r="5" spans="2:80">
      <c r="B5" s="151">
        <f>+Carga!K5</f>
        <v>44824</v>
      </c>
      <c r="C5" s="152">
        <f>+'Calculadora VDFA'!$M$6</f>
        <v>0.61</v>
      </c>
      <c r="E5" s="6">
        <f>Carga!L5</f>
        <v>32074900</v>
      </c>
      <c r="F5" s="6">
        <f>Carga!C8</f>
        <v>257210000</v>
      </c>
      <c r="G5" s="152">
        <f>+MAX(Carga!$D$8,MIN(Carga!$F$8,Carga!$E$8+$C5))</f>
        <v>0.61</v>
      </c>
      <c r="H5" s="6">
        <f>F5*G5*Carga!P5/360</f>
        <v>13074841.666666666</v>
      </c>
      <c r="I5" s="154">
        <f>+I4+H5-K5</f>
        <v>0</v>
      </c>
      <c r="J5" s="6">
        <f>MIN(E5-K5,F5)</f>
        <v>19000058.333333336</v>
      </c>
      <c r="K5" s="6">
        <f>MIN(SUM(H$4:H5)-SUM(K$4:K4),E5)</f>
        <v>13074841.666666666</v>
      </c>
      <c r="L5" s="6">
        <f t="shared" ref="L5:L65" si="0">SUM(J5:K5)</f>
        <v>32074900</v>
      </c>
      <c r="N5" s="6">
        <f t="shared" ref="N5:N65" si="1">MAX(E5-L5,0)</f>
        <v>0</v>
      </c>
      <c r="O5" s="6">
        <f>Carga!C9</f>
        <v>25110000</v>
      </c>
      <c r="P5" s="152">
        <f>+MAX(Carga!$D$9,MIN(Carga!$F$9,Carga!$E$9+$C5))</f>
        <v>0.63</v>
      </c>
      <c r="Q5" s="6">
        <f>+O5*P5*Carga!P5/360</f>
        <v>1318275</v>
      </c>
      <c r="R5" s="6">
        <f>+R4+Q5-T5</f>
        <v>1318275</v>
      </c>
      <c r="S5" s="6">
        <f t="shared" ref="S5:S36" si="2">MIN(N5-T5,O5)</f>
        <v>0</v>
      </c>
      <c r="T5" s="6">
        <f t="shared" ref="T5:T8" si="3">IF(N5=0,0,MIN(MAX(N5,0),R4+Q5))</f>
        <v>0</v>
      </c>
      <c r="U5" s="6">
        <f t="shared" ref="U5:U65" si="4">SUM(S5:T5)</f>
        <v>0</v>
      </c>
      <c r="W5" s="6">
        <f t="shared" ref="W5:W65" si="5">MAX(N5-U5,0)</f>
        <v>0</v>
      </c>
      <c r="X5" s="6">
        <f>Carga!C10</f>
        <v>0</v>
      </c>
      <c r="Y5" s="11">
        <f>+MAX(Carga!$D$10,MIN(Carga!$F$10,Carga!$E$10+$C5))</f>
        <v>0.61</v>
      </c>
      <c r="Z5" s="6">
        <f>X5*Y5/12*Carga!$C$13</f>
        <v>0</v>
      </c>
      <c r="AA5" s="6">
        <f t="shared" ref="AA5:AA65" si="6">MIN(W5-AB5,X5)</f>
        <v>0</v>
      </c>
      <c r="AB5" s="6">
        <f t="shared" ref="AB5:AB65" si="7">MIN(SUM(Z$4:Z5)-SUM(AB$4:AB4),W5)</f>
        <v>0</v>
      </c>
      <c r="AC5" s="6">
        <f t="shared" ref="AC5:AC65" si="8">SUM(AA5:AB5)</f>
        <v>0</v>
      </c>
      <c r="AE5" s="6">
        <f t="shared" ref="AE5:AE65" si="9">MAX(W5-AC5,0)</f>
        <v>0</v>
      </c>
      <c r="AF5" s="6">
        <f>Carga!C11</f>
        <v>0</v>
      </c>
      <c r="AG5" s="11" t="b">
        <f t="shared" ref="AG5:AG31" si="10">IF(MAX(AE6:AE$40)&gt;0,FALSE,TRUE)</f>
        <v>0</v>
      </c>
      <c r="AH5" s="6">
        <f t="shared" ref="AH5:AH65" si="11">IF(AG5,MIN(AE5,AF5),MIN(AE5,AF5-100))</f>
        <v>-100</v>
      </c>
      <c r="AI5" s="6">
        <f t="shared" ref="AI5:AI65" si="12">MAX(AE5-AH5,0)</f>
        <v>100</v>
      </c>
      <c r="AJ5" s="6">
        <f t="shared" ref="AJ5:AJ65" si="13">SUM(AH5:AI5)</f>
        <v>0</v>
      </c>
      <c r="AL5" s="6">
        <f t="shared" ref="AL5:AL36" si="14">B5-B$4</f>
        <v>35</v>
      </c>
      <c r="AN5" s="6">
        <f t="shared" ref="AN5:AN65" si="15">L5</f>
        <v>32074900</v>
      </c>
      <c r="AO5" s="6" t="e">
        <f t="shared" ref="AO5:AO65" si="16">AN5/((1+AN$66)^($AL5/365))</f>
        <v>#NUM!</v>
      </c>
      <c r="AP5" s="6" t="e">
        <f t="shared" ref="AP5:AP65" si="17">$AL5*AO5/-AN$4</f>
        <v>#NUM!</v>
      </c>
      <c r="AR5" s="6">
        <f t="shared" ref="AR5:AR65" si="18">U5</f>
        <v>0</v>
      </c>
      <c r="AS5" s="6" t="e">
        <f t="shared" ref="AS5:AS65" si="19">AR5/((1+AR$66)^($AL5/365))</f>
        <v>#NUM!</v>
      </c>
      <c r="AT5" s="6" t="e">
        <f t="shared" ref="AT5:AT65" si="20">$AL5*AS5/-AR$4</f>
        <v>#NUM!</v>
      </c>
      <c r="AV5" s="6">
        <f t="shared" ref="AV5:AV65" si="21">AC5</f>
        <v>0</v>
      </c>
      <c r="AW5" s="6" t="e">
        <f t="shared" ref="AW5:AW65" si="22">AV5/((1+AV$66)^($AL5/365))</f>
        <v>#NUM!</v>
      </c>
      <c r="AX5" s="6" t="e">
        <f t="shared" ref="AX5:AX65" si="23">$AL5*AW5/-AV$4</f>
        <v>#NUM!</v>
      </c>
      <c r="AZ5" s="6">
        <f t="shared" ref="AZ5:AZ65" si="24">AJ5</f>
        <v>0</v>
      </c>
      <c r="BA5" s="6" t="e">
        <f t="shared" ref="BA5:BA65" si="25">AZ5/((1+AZ$66)^($AL5/365))</f>
        <v>#NUM!</v>
      </c>
      <c r="BB5" s="6" t="e">
        <f t="shared" ref="BB5:BB65" si="26">$AL5*BA5/-AZ$4</f>
        <v>#NUM!</v>
      </c>
      <c r="BD5" s="6">
        <f t="shared" ref="BD5:BD65" si="27">L5</f>
        <v>32074900</v>
      </c>
      <c r="BE5" s="6">
        <f t="shared" ref="BE5:BE65" si="28">U5</f>
        <v>0</v>
      </c>
      <c r="BF5" s="6">
        <f t="shared" ref="BF5:BF65" si="29">AC5</f>
        <v>0</v>
      </c>
      <c r="BG5" s="6">
        <f t="shared" ref="BG5:BG65" si="30">AJ5</f>
        <v>0</v>
      </c>
      <c r="BI5" s="6">
        <f t="shared" ref="BI5:BI65" si="31">+IF(AND(BW5&gt;=BV$5,BW4&lt;BV$5),1,0)</f>
        <v>0</v>
      </c>
      <c r="BJ5" s="6">
        <f t="shared" ref="BJ5:BJ65" si="32">+IF(AND(BX5&gt;=BV$5,BX4&lt;BV$5),1,0)</f>
        <v>0</v>
      </c>
      <c r="BK5" s="6">
        <f t="shared" ref="BK5:BK36" ca="1" si="33">+IF(AND(TODAY()&gt;B4,TODAY()&lt;=B5),1,0)</f>
        <v>0</v>
      </c>
      <c r="BL5" s="6">
        <f t="shared" ref="BL5:BL50" si="34">+SUM(E5:E$40)</f>
        <v>483191849</v>
      </c>
      <c r="BM5" s="6">
        <f t="shared" ref="BM5:BM50" si="35">+SUM(K5:K$40)+F5</f>
        <v>345600546.94369674</v>
      </c>
      <c r="BN5" s="6">
        <f t="shared" ref="BN5:BN50" si="36">+SUM(T5:T$40)+O5</f>
        <v>46446505.693095475</v>
      </c>
      <c r="BO5" s="6">
        <f t="shared" ref="BO5:BO50" si="37">+SUM(AB5:AB$40)+X5</f>
        <v>0</v>
      </c>
      <c r="BP5" s="11">
        <f t="shared" ref="BP5:BP65" si="38">+BM5/$BL5</f>
        <v>0.71524498531782299</v>
      </c>
      <c r="BQ5" s="11">
        <f t="shared" ref="BQ5:BQ65" si="39">(BM5+BN5)/$BL5</f>
        <v>0.81136934211154743</v>
      </c>
      <c r="BR5" s="11">
        <f t="shared" ref="BR5:BR65" si="40">(BM5+BN5+BO5)/$BL5</f>
        <v>0.81136934211154743</v>
      </c>
      <c r="BS5" s="11">
        <f t="shared" ref="BS5:BU5" si="41">+(1-BP5)</f>
        <v>0.28475501468217701</v>
      </c>
      <c r="BT5" s="11">
        <f t="shared" si="41"/>
        <v>0.18863065788845257</v>
      </c>
      <c r="BU5" s="11">
        <f t="shared" si="41"/>
        <v>0.18863065788845257</v>
      </c>
      <c r="BV5" s="19">
        <f t="shared" ref="BV5:BX5" si="42">ROUND(1/BP5,2)</f>
        <v>1.4</v>
      </c>
      <c r="BW5" s="19">
        <f t="shared" si="42"/>
        <v>1.23</v>
      </c>
      <c r="BX5" s="19">
        <f t="shared" si="42"/>
        <v>1.23</v>
      </c>
      <c r="BY5" s="7">
        <f t="shared" ref="BY5:BY36" si="43">+B5</f>
        <v>44824</v>
      </c>
      <c r="CA5" s="19" t="s">
        <v>40</v>
      </c>
      <c r="CB5" s="11">
        <f>1-BP5</f>
        <v>0.28475501468217701</v>
      </c>
    </row>
    <row r="6" spans="2:80">
      <c r="B6" s="151">
        <f>+Carga!K6</f>
        <v>44854</v>
      </c>
      <c r="C6" s="153">
        <f>+'Calculadora VDFA'!$M$6</f>
        <v>0.61</v>
      </c>
      <c r="E6" s="17">
        <f>Carga!L6</f>
        <v>32225112</v>
      </c>
      <c r="F6" s="17">
        <f t="shared" ref="F6:F37" si="44">SUM(F5,-J5)</f>
        <v>238209941.66666666</v>
      </c>
      <c r="G6" s="153">
        <f>+MAX(Carga!$D$8,MIN(Carga!$F$8,Carga!$E$8+$C6))</f>
        <v>0.61</v>
      </c>
      <c r="H6" s="17">
        <f>F6*G6*Carga!P6/360</f>
        <v>12109005.368055556</v>
      </c>
      <c r="I6" s="155">
        <f t="shared" ref="I6:I65" si="45">+I5+H6-K6</f>
        <v>0</v>
      </c>
      <c r="J6" s="17">
        <f t="shared" ref="J6:J65" si="46">MIN(E6-K6,F6)</f>
        <v>20116106.63194444</v>
      </c>
      <c r="K6" s="17">
        <f t="shared" ref="K6:K65" si="47">MIN(SUM(H$4:H6)-SUM(K$4:K5),E6)</f>
        <v>12109005.368055558</v>
      </c>
      <c r="L6" s="17">
        <f t="shared" si="0"/>
        <v>32225112</v>
      </c>
      <c r="N6" s="17">
        <f t="shared" si="1"/>
        <v>0</v>
      </c>
      <c r="O6" s="17">
        <f t="shared" ref="O6:O65" si="48">SUM(O5,-S5)</f>
        <v>25110000</v>
      </c>
      <c r="P6" s="153">
        <f>+MAX(Carga!$D$9,MIN(Carga!$F$9,Carga!$E$9+$C6))</f>
        <v>0.63</v>
      </c>
      <c r="Q6" s="17">
        <f>+O6*P6*Carga!P6/360</f>
        <v>1318275</v>
      </c>
      <c r="R6" s="17">
        <f t="shared" ref="R6:R65" si="49">+R5+Q6-T6</f>
        <v>2636550</v>
      </c>
      <c r="S6" s="17">
        <f t="shared" si="2"/>
        <v>0</v>
      </c>
      <c r="T6" s="17">
        <f t="shared" si="3"/>
        <v>0</v>
      </c>
      <c r="U6" s="17">
        <f t="shared" si="4"/>
        <v>0</v>
      </c>
      <c r="W6" s="17">
        <f t="shared" si="5"/>
        <v>0</v>
      </c>
      <c r="X6" s="17">
        <f t="shared" ref="X6:X65" si="50">SUM(X5,-AA5)</f>
        <v>0</v>
      </c>
      <c r="Y6" s="18">
        <f>+MAX(Carga!$D$10,MIN(Carga!$F$10,Carga!$E$10+$C6))</f>
        <v>0.61</v>
      </c>
      <c r="Z6" s="17">
        <f t="shared" ref="Z6:Z65" si="51">X6*Y6/12</f>
        <v>0</v>
      </c>
      <c r="AA6" s="17">
        <f t="shared" si="6"/>
        <v>0</v>
      </c>
      <c r="AB6" s="17">
        <f t="shared" si="7"/>
        <v>0</v>
      </c>
      <c r="AC6" s="17">
        <f t="shared" si="8"/>
        <v>0</v>
      </c>
      <c r="AE6" s="17">
        <f t="shared" si="9"/>
        <v>0</v>
      </c>
      <c r="AF6" s="17">
        <f t="shared" ref="AF6:AF65" si="52">SUM(AF5,-AH5)</f>
        <v>100</v>
      </c>
      <c r="AG6" s="16" t="b">
        <f t="shared" si="10"/>
        <v>0</v>
      </c>
      <c r="AH6" s="17">
        <f t="shared" si="11"/>
        <v>0</v>
      </c>
      <c r="AI6" s="17">
        <f t="shared" si="12"/>
        <v>0</v>
      </c>
      <c r="AJ6" s="17">
        <f t="shared" si="13"/>
        <v>0</v>
      </c>
      <c r="AL6" s="16">
        <f t="shared" si="14"/>
        <v>65</v>
      </c>
      <c r="AN6" s="17">
        <f t="shared" si="15"/>
        <v>32225112</v>
      </c>
      <c r="AO6" s="17" t="e">
        <f t="shared" si="16"/>
        <v>#NUM!</v>
      </c>
      <c r="AP6" s="16" t="e">
        <f t="shared" si="17"/>
        <v>#NUM!</v>
      </c>
      <c r="AR6" s="17">
        <f t="shared" si="18"/>
        <v>0</v>
      </c>
      <c r="AS6" s="17" t="e">
        <f t="shared" si="19"/>
        <v>#NUM!</v>
      </c>
      <c r="AT6" s="17" t="e">
        <f t="shared" si="20"/>
        <v>#NUM!</v>
      </c>
      <c r="AV6" s="17">
        <f t="shared" si="21"/>
        <v>0</v>
      </c>
      <c r="AW6" s="17" t="e">
        <f t="shared" si="22"/>
        <v>#NUM!</v>
      </c>
      <c r="AX6" s="17" t="e">
        <f t="shared" si="23"/>
        <v>#NUM!</v>
      </c>
      <c r="AZ6" s="17">
        <f t="shared" si="24"/>
        <v>0</v>
      </c>
      <c r="BA6" s="17" t="e">
        <f t="shared" si="25"/>
        <v>#NUM!</v>
      </c>
      <c r="BB6" s="17" t="e">
        <f t="shared" si="26"/>
        <v>#NUM!</v>
      </c>
      <c r="BD6" s="17">
        <f t="shared" si="27"/>
        <v>32225112</v>
      </c>
      <c r="BE6" s="17">
        <f t="shared" si="28"/>
        <v>0</v>
      </c>
      <c r="BF6" s="17">
        <f t="shared" si="29"/>
        <v>0</v>
      </c>
      <c r="BG6" s="17">
        <f t="shared" si="30"/>
        <v>0</v>
      </c>
      <c r="BI6" s="17">
        <f t="shared" si="31"/>
        <v>0</v>
      </c>
      <c r="BJ6" s="17">
        <f t="shared" si="32"/>
        <v>0</v>
      </c>
      <c r="BK6" s="17">
        <f t="shared" ca="1" si="33"/>
        <v>0</v>
      </c>
      <c r="BL6" s="17">
        <f t="shared" si="34"/>
        <v>451116949</v>
      </c>
      <c r="BM6" s="17">
        <f t="shared" si="35"/>
        <v>313525646.94369674</v>
      </c>
      <c r="BN6" s="17">
        <f t="shared" si="36"/>
        <v>46446505.693095475</v>
      </c>
      <c r="BO6" s="17">
        <f t="shared" si="37"/>
        <v>0</v>
      </c>
      <c r="BP6" s="18">
        <f t="shared" si="38"/>
        <v>0.69499859767782024</v>
      </c>
      <c r="BQ6" s="18">
        <f t="shared" si="39"/>
        <v>0.79795749956801598</v>
      </c>
      <c r="BR6" s="18">
        <f t="shared" si="40"/>
        <v>0.79795749956801598</v>
      </c>
      <c r="BS6" s="18">
        <f t="shared" ref="BS6:BU6" si="53">+(1-BP6)</f>
        <v>0.30500140232217976</v>
      </c>
      <c r="BT6" s="18">
        <f t="shared" si="53"/>
        <v>0.20204250043198402</v>
      </c>
      <c r="BU6" s="18">
        <f t="shared" si="53"/>
        <v>0.20204250043198402</v>
      </c>
      <c r="BV6" s="20">
        <f t="shared" ref="BV6:BX6" si="54">ROUND(1/BP6,2)</f>
        <v>1.44</v>
      </c>
      <c r="BW6" s="20">
        <f t="shared" si="54"/>
        <v>1.25</v>
      </c>
      <c r="BX6" s="20">
        <f t="shared" si="54"/>
        <v>1.25</v>
      </c>
      <c r="BY6" s="15">
        <f t="shared" si="43"/>
        <v>44854</v>
      </c>
      <c r="CA6" s="19" t="s">
        <v>41</v>
      </c>
      <c r="CB6" s="11" t="e">
        <f ca="1">1-VLOOKUP(1,BK$5:BY$40,7,FALSE)</f>
        <v>#N/A</v>
      </c>
    </row>
    <row r="7" spans="2:80">
      <c r="B7" s="151">
        <f>+Carga!K7</f>
        <v>44886</v>
      </c>
      <c r="C7" s="152">
        <f>+'Calculadora VDFA'!$M$6</f>
        <v>0.61</v>
      </c>
      <c r="E7" s="6">
        <f>Carga!L7</f>
        <v>31618510</v>
      </c>
      <c r="F7" s="6">
        <f t="shared" si="44"/>
        <v>218093835.03472221</v>
      </c>
      <c r="G7" s="152">
        <f>+MAX(Carga!$D$8,MIN(Carga!$F$8,Carga!$E$8+$C7))</f>
        <v>0.61</v>
      </c>
      <c r="H7" s="6">
        <f>F7*G7*Carga!P7/360</f>
        <v>11086436.614265045</v>
      </c>
      <c r="I7" s="154">
        <f t="shared" si="45"/>
        <v>0</v>
      </c>
      <c r="J7" s="6">
        <f t="shared" si="46"/>
        <v>20532073.385734953</v>
      </c>
      <c r="K7" s="6">
        <f t="shared" si="47"/>
        <v>11086436.614265047</v>
      </c>
      <c r="L7" s="6">
        <f t="shared" si="0"/>
        <v>31618510</v>
      </c>
      <c r="M7" s="21"/>
      <c r="N7" s="6">
        <f t="shared" si="1"/>
        <v>0</v>
      </c>
      <c r="O7" s="6">
        <f t="shared" si="48"/>
        <v>25110000</v>
      </c>
      <c r="P7" s="152">
        <f>+MAX(Carga!$D$9,MIN(Carga!$F$9,Carga!$E$9+$C7))</f>
        <v>0.63</v>
      </c>
      <c r="Q7" s="6">
        <f>+O7*P7*Carga!P7/360</f>
        <v>1318275</v>
      </c>
      <c r="R7" s="6">
        <f t="shared" si="49"/>
        <v>3954825</v>
      </c>
      <c r="S7" s="6">
        <f t="shared" si="2"/>
        <v>0</v>
      </c>
      <c r="T7" s="6">
        <f t="shared" si="3"/>
        <v>0</v>
      </c>
      <c r="U7" s="6">
        <f t="shared" si="4"/>
        <v>0</v>
      </c>
      <c r="W7" s="6">
        <f t="shared" si="5"/>
        <v>0</v>
      </c>
      <c r="X7" s="6">
        <f t="shared" si="50"/>
        <v>0</v>
      </c>
      <c r="Y7" s="11">
        <f>+MAX(Carga!$D$10,MIN(Carga!$F$10,Carga!$E$10+$C7))</f>
        <v>0.61</v>
      </c>
      <c r="Z7" s="6">
        <f t="shared" si="51"/>
        <v>0</v>
      </c>
      <c r="AA7" s="6">
        <f t="shared" si="6"/>
        <v>0</v>
      </c>
      <c r="AB7" s="6">
        <f t="shared" si="7"/>
        <v>0</v>
      </c>
      <c r="AC7" s="6">
        <f t="shared" si="8"/>
        <v>0</v>
      </c>
      <c r="AE7" s="6">
        <f t="shared" si="9"/>
        <v>0</v>
      </c>
      <c r="AF7" s="6">
        <f t="shared" si="52"/>
        <v>100</v>
      </c>
      <c r="AG7" s="11" t="b">
        <f t="shared" si="10"/>
        <v>0</v>
      </c>
      <c r="AH7" s="6">
        <f t="shared" si="11"/>
        <v>0</v>
      </c>
      <c r="AI7" s="6">
        <f t="shared" si="12"/>
        <v>0</v>
      </c>
      <c r="AJ7" s="6">
        <f t="shared" si="13"/>
        <v>0</v>
      </c>
      <c r="AL7" s="6">
        <f t="shared" si="14"/>
        <v>97</v>
      </c>
      <c r="AN7" s="6">
        <f t="shared" si="15"/>
        <v>31618510</v>
      </c>
      <c r="AO7" s="6" t="e">
        <f t="shared" si="16"/>
        <v>#NUM!</v>
      </c>
      <c r="AP7" s="6" t="e">
        <f t="shared" si="17"/>
        <v>#NUM!</v>
      </c>
      <c r="AR7" s="6">
        <f t="shared" si="18"/>
        <v>0</v>
      </c>
      <c r="AS7" s="6" t="e">
        <f t="shared" si="19"/>
        <v>#NUM!</v>
      </c>
      <c r="AT7" s="6" t="e">
        <f t="shared" si="20"/>
        <v>#NUM!</v>
      </c>
      <c r="AV7" s="6">
        <f t="shared" si="21"/>
        <v>0</v>
      </c>
      <c r="AW7" s="6" t="e">
        <f t="shared" si="22"/>
        <v>#NUM!</v>
      </c>
      <c r="AX7" s="6" t="e">
        <f t="shared" si="23"/>
        <v>#NUM!</v>
      </c>
      <c r="AZ7" s="6">
        <f t="shared" si="24"/>
        <v>0</v>
      </c>
      <c r="BA7" s="6" t="e">
        <f t="shared" si="25"/>
        <v>#NUM!</v>
      </c>
      <c r="BB7" s="6" t="e">
        <f t="shared" si="26"/>
        <v>#NUM!</v>
      </c>
      <c r="BD7" s="6">
        <f t="shared" si="27"/>
        <v>31618510</v>
      </c>
      <c r="BE7" s="6">
        <f t="shared" si="28"/>
        <v>0</v>
      </c>
      <c r="BF7" s="6">
        <f t="shared" si="29"/>
        <v>0</v>
      </c>
      <c r="BG7" s="6">
        <f t="shared" si="30"/>
        <v>0</v>
      </c>
      <c r="BI7" s="6">
        <f t="shared" si="31"/>
        <v>0</v>
      </c>
      <c r="BJ7" s="6">
        <f t="shared" si="32"/>
        <v>0</v>
      </c>
      <c r="BK7" s="6">
        <f t="shared" ca="1" si="33"/>
        <v>0</v>
      </c>
      <c r="BL7" s="6">
        <f t="shared" si="34"/>
        <v>418891837</v>
      </c>
      <c r="BM7" s="6">
        <f t="shared" si="35"/>
        <v>281300534.94369674</v>
      </c>
      <c r="BN7" s="6">
        <f t="shared" si="36"/>
        <v>46446505.693095475</v>
      </c>
      <c r="BO7" s="6">
        <f t="shared" si="37"/>
        <v>0</v>
      </c>
      <c r="BP7" s="11">
        <f t="shared" si="38"/>
        <v>0.67153501237527513</v>
      </c>
      <c r="BQ7" s="11">
        <f t="shared" si="39"/>
        <v>0.78241448433093286</v>
      </c>
      <c r="BR7" s="11">
        <f t="shared" si="40"/>
        <v>0.78241448433093286</v>
      </c>
      <c r="BS7" s="11">
        <f t="shared" ref="BS7:BU7" si="55">+(1-BP7)</f>
        <v>0.32846498762472487</v>
      </c>
      <c r="BT7" s="11">
        <f t="shared" si="55"/>
        <v>0.21758551566906714</v>
      </c>
      <c r="BU7" s="11">
        <f t="shared" si="55"/>
        <v>0.21758551566906714</v>
      </c>
      <c r="BV7" s="19">
        <f t="shared" ref="BV7:BX7" si="56">ROUND(1/BP7,2)</f>
        <v>1.49</v>
      </c>
      <c r="BW7" s="19">
        <f t="shared" si="56"/>
        <v>1.28</v>
      </c>
      <c r="BX7" s="19">
        <f t="shared" si="56"/>
        <v>1.28</v>
      </c>
      <c r="BY7" s="7">
        <f t="shared" si="43"/>
        <v>44886</v>
      </c>
      <c r="CA7" s="19" t="s">
        <v>42</v>
      </c>
      <c r="CB7" s="11" t="e">
        <f ca="1">1-VLOOKUP(1,BK$5:BY$40,8,FALSE)</f>
        <v>#N/A</v>
      </c>
    </row>
    <row r="8" spans="2:80">
      <c r="B8" s="151">
        <f>+Carga!K8</f>
        <v>44915</v>
      </c>
      <c r="C8" s="153">
        <f>+'Calculadora VDFA'!$M$6</f>
        <v>0.61</v>
      </c>
      <c r="E8" s="17">
        <f>Carga!L8</f>
        <v>30815944</v>
      </c>
      <c r="F8" s="17">
        <f t="shared" si="44"/>
        <v>197561761.64898726</v>
      </c>
      <c r="G8" s="153">
        <f>+MAX(Carga!$D$8,MIN(Carga!$F$8,Carga!$E$8+$C8))</f>
        <v>0.61</v>
      </c>
      <c r="H8" s="17">
        <f>F8*G8*Carga!P8/360</f>
        <v>10042722.88382352</v>
      </c>
      <c r="I8" s="155">
        <f t="shared" si="45"/>
        <v>0</v>
      </c>
      <c r="J8" s="17">
        <f t="shared" si="46"/>
        <v>20773221.116176479</v>
      </c>
      <c r="K8" s="17">
        <f t="shared" si="47"/>
        <v>10042722.883823521</v>
      </c>
      <c r="L8" s="17">
        <f t="shared" si="0"/>
        <v>30815944</v>
      </c>
      <c r="N8" s="17">
        <f t="shared" si="1"/>
        <v>0</v>
      </c>
      <c r="O8" s="17">
        <f t="shared" si="48"/>
        <v>25110000</v>
      </c>
      <c r="P8" s="153">
        <f>+MAX(Carga!$D$9,MIN(Carga!$F$9,Carga!$E$9+$C8))</f>
        <v>0.63</v>
      </c>
      <c r="Q8" s="17">
        <f>+O8*P8*Carga!P8/360</f>
        <v>1318275</v>
      </c>
      <c r="R8" s="17">
        <f t="shared" si="49"/>
        <v>5273100</v>
      </c>
      <c r="S8" s="17">
        <f t="shared" si="2"/>
        <v>0</v>
      </c>
      <c r="T8" s="17">
        <f t="shared" si="3"/>
        <v>0</v>
      </c>
      <c r="U8" s="17">
        <f t="shared" si="4"/>
        <v>0</v>
      </c>
      <c r="W8" s="17">
        <f t="shared" si="5"/>
        <v>0</v>
      </c>
      <c r="X8" s="17">
        <f t="shared" si="50"/>
        <v>0</v>
      </c>
      <c r="Y8" s="18">
        <f>+MAX(Carga!$D$10,MIN(Carga!$F$10,Carga!$E$10+$C8))</f>
        <v>0.61</v>
      </c>
      <c r="Z8" s="17">
        <f t="shared" si="51"/>
        <v>0</v>
      </c>
      <c r="AA8" s="17">
        <f t="shared" si="6"/>
        <v>0</v>
      </c>
      <c r="AB8" s="17">
        <f t="shared" si="7"/>
        <v>0</v>
      </c>
      <c r="AC8" s="17">
        <f t="shared" si="8"/>
        <v>0</v>
      </c>
      <c r="AE8" s="17">
        <f t="shared" si="9"/>
        <v>0</v>
      </c>
      <c r="AF8" s="17">
        <f t="shared" si="52"/>
        <v>100</v>
      </c>
      <c r="AG8" s="16" t="b">
        <f t="shared" si="10"/>
        <v>0</v>
      </c>
      <c r="AH8" s="17">
        <f t="shared" si="11"/>
        <v>0</v>
      </c>
      <c r="AI8" s="17">
        <f t="shared" si="12"/>
        <v>0</v>
      </c>
      <c r="AJ8" s="17">
        <f t="shared" si="13"/>
        <v>0</v>
      </c>
      <c r="AL8" s="16">
        <f t="shared" si="14"/>
        <v>126</v>
      </c>
      <c r="AN8" s="17">
        <f t="shared" si="15"/>
        <v>30815944</v>
      </c>
      <c r="AO8" s="17" t="e">
        <f t="shared" si="16"/>
        <v>#NUM!</v>
      </c>
      <c r="AP8" s="16" t="e">
        <f t="shared" si="17"/>
        <v>#NUM!</v>
      </c>
      <c r="AR8" s="17">
        <f t="shared" si="18"/>
        <v>0</v>
      </c>
      <c r="AS8" s="17" t="e">
        <f t="shared" si="19"/>
        <v>#NUM!</v>
      </c>
      <c r="AT8" s="17" t="e">
        <f t="shared" si="20"/>
        <v>#NUM!</v>
      </c>
      <c r="AV8" s="17">
        <f t="shared" si="21"/>
        <v>0</v>
      </c>
      <c r="AW8" s="17" t="e">
        <f t="shared" si="22"/>
        <v>#NUM!</v>
      </c>
      <c r="AX8" s="17" t="e">
        <f t="shared" si="23"/>
        <v>#NUM!</v>
      </c>
      <c r="AZ8" s="17">
        <f t="shared" si="24"/>
        <v>0</v>
      </c>
      <c r="BA8" s="17" t="e">
        <f t="shared" si="25"/>
        <v>#NUM!</v>
      </c>
      <c r="BB8" s="17" t="e">
        <f t="shared" si="26"/>
        <v>#NUM!</v>
      </c>
      <c r="BD8" s="17">
        <f t="shared" si="27"/>
        <v>30815944</v>
      </c>
      <c r="BE8" s="17">
        <f t="shared" si="28"/>
        <v>0</v>
      </c>
      <c r="BF8" s="17">
        <f t="shared" si="29"/>
        <v>0</v>
      </c>
      <c r="BG8" s="17">
        <f t="shared" si="30"/>
        <v>0</v>
      </c>
      <c r="BI8" s="17">
        <f t="shared" si="31"/>
        <v>0</v>
      </c>
      <c r="BJ8" s="17">
        <f t="shared" si="32"/>
        <v>0</v>
      </c>
      <c r="BK8" s="17">
        <f t="shared" ca="1" si="33"/>
        <v>0</v>
      </c>
      <c r="BL8" s="17">
        <f t="shared" si="34"/>
        <v>387273327</v>
      </c>
      <c r="BM8" s="17">
        <f t="shared" si="35"/>
        <v>249682024.94369677</v>
      </c>
      <c r="BN8" s="17">
        <f t="shared" si="36"/>
        <v>46446505.693095475</v>
      </c>
      <c r="BO8" s="17">
        <f t="shared" si="37"/>
        <v>0</v>
      </c>
      <c r="BP8" s="18">
        <f t="shared" si="38"/>
        <v>0.64471784534672272</v>
      </c>
      <c r="BQ8" s="18">
        <f t="shared" si="39"/>
        <v>0.76464995131666336</v>
      </c>
      <c r="BR8" s="18">
        <f t="shared" si="40"/>
        <v>0.76464995131666336</v>
      </c>
      <c r="BS8" s="18">
        <f t="shared" ref="BS8:BU8" si="57">+(1-BP8)</f>
        <v>0.35528215465327728</v>
      </c>
      <c r="BT8" s="18">
        <f t="shared" si="57"/>
        <v>0.23535004868333664</v>
      </c>
      <c r="BU8" s="18">
        <f t="shared" si="57"/>
        <v>0.23535004868333664</v>
      </c>
      <c r="BV8" s="20">
        <f t="shared" ref="BV8:BX8" si="58">ROUND(1/BP8,2)</f>
        <v>1.55</v>
      </c>
      <c r="BW8" s="20">
        <f t="shared" si="58"/>
        <v>1.31</v>
      </c>
      <c r="BX8" s="20">
        <f t="shared" si="58"/>
        <v>1.31</v>
      </c>
      <c r="BY8" s="15">
        <f t="shared" si="43"/>
        <v>44915</v>
      </c>
      <c r="CA8" s="19" t="s">
        <v>43</v>
      </c>
      <c r="CB8" s="7">
        <f>+VLOOKUP(1,BI$5:BY$40,17,FALSE)</f>
        <v>45005</v>
      </c>
    </row>
    <row r="9" spans="2:80">
      <c r="B9" s="151">
        <f>+Carga!K9</f>
        <v>44946</v>
      </c>
      <c r="C9" s="152">
        <f>+'Calculadora VDFA'!$M$6</f>
        <v>0.61</v>
      </c>
      <c r="E9" s="6">
        <f>Carga!L9</f>
        <v>30098700</v>
      </c>
      <c r="F9" s="6">
        <f t="shared" si="44"/>
        <v>176788540.53281078</v>
      </c>
      <c r="G9" s="152">
        <f>+MAX(Carga!$D$8,MIN(Carga!$F$8,Carga!$E$8+$C9))</f>
        <v>0.61</v>
      </c>
      <c r="H9" s="6">
        <f>F9*G9*Carga!P9/360</f>
        <v>8986750.8104178794</v>
      </c>
      <c r="I9" s="154">
        <f t="shared" si="45"/>
        <v>0</v>
      </c>
      <c r="J9" s="6">
        <f t="shared" si="46"/>
        <v>21111949.189582124</v>
      </c>
      <c r="K9" s="6">
        <f t="shared" si="47"/>
        <v>8986750.8104178756</v>
      </c>
      <c r="L9" s="6">
        <f t="shared" si="0"/>
        <v>30098700</v>
      </c>
      <c r="N9" s="6">
        <f>MAX(E9-L9,0)</f>
        <v>0</v>
      </c>
      <c r="O9" s="6">
        <f t="shared" si="48"/>
        <v>25110000</v>
      </c>
      <c r="P9" s="152">
        <f>+MAX(Carga!$D$9,MIN(Carga!$F$9,Carga!$E$9+$C9))</f>
        <v>0.63</v>
      </c>
      <c r="Q9" s="6">
        <f>+O9*P9*Carga!P9/360</f>
        <v>1318275</v>
      </c>
      <c r="R9" s="6">
        <f t="shared" si="49"/>
        <v>6591375</v>
      </c>
      <c r="S9" s="6">
        <f t="shared" si="2"/>
        <v>0</v>
      </c>
      <c r="T9" s="6">
        <f>IF(N9=0,0,MIN(MAX(N9,0),R8+Q9))</f>
        <v>0</v>
      </c>
      <c r="U9" s="6">
        <f t="shared" si="4"/>
        <v>0</v>
      </c>
      <c r="W9" s="6">
        <f t="shared" si="5"/>
        <v>0</v>
      </c>
      <c r="X9" s="6">
        <f t="shared" si="50"/>
        <v>0</v>
      </c>
      <c r="Y9" s="11">
        <f>+MAX(Carga!$D$10,MIN(Carga!$F$10,Carga!$E$10+$C9))</f>
        <v>0.61</v>
      </c>
      <c r="Z9" s="6">
        <f t="shared" si="51"/>
        <v>0</v>
      </c>
      <c r="AA9" s="6">
        <f t="shared" si="6"/>
        <v>0</v>
      </c>
      <c r="AB9" s="6">
        <f t="shared" si="7"/>
        <v>0</v>
      </c>
      <c r="AC9" s="6">
        <f t="shared" si="8"/>
        <v>0</v>
      </c>
      <c r="AE9" s="6">
        <f t="shared" si="9"/>
        <v>0</v>
      </c>
      <c r="AF9" s="6">
        <f t="shared" si="52"/>
        <v>100</v>
      </c>
      <c r="AG9" s="11" t="b">
        <f t="shared" si="10"/>
        <v>0</v>
      </c>
      <c r="AH9" s="6">
        <f t="shared" si="11"/>
        <v>0</v>
      </c>
      <c r="AI9" s="6">
        <f t="shared" si="12"/>
        <v>0</v>
      </c>
      <c r="AJ9" s="6">
        <f t="shared" si="13"/>
        <v>0</v>
      </c>
      <c r="AL9" s="6">
        <f t="shared" si="14"/>
        <v>157</v>
      </c>
      <c r="AN9" s="6">
        <f t="shared" si="15"/>
        <v>30098700</v>
      </c>
      <c r="AO9" s="6" t="e">
        <f t="shared" si="16"/>
        <v>#NUM!</v>
      </c>
      <c r="AP9" s="6" t="e">
        <f t="shared" si="17"/>
        <v>#NUM!</v>
      </c>
      <c r="AR9" s="6">
        <f t="shared" si="18"/>
        <v>0</v>
      </c>
      <c r="AS9" s="6" t="e">
        <f t="shared" si="19"/>
        <v>#NUM!</v>
      </c>
      <c r="AT9" s="6" t="e">
        <f t="shared" si="20"/>
        <v>#NUM!</v>
      </c>
      <c r="AV9" s="6">
        <f t="shared" si="21"/>
        <v>0</v>
      </c>
      <c r="AW9" s="6" t="e">
        <f t="shared" si="22"/>
        <v>#NUM!</v>
      </c>
      <c r="AX9" s="6" t="e">
        <f t="shared" si="23"/>
        <v>#NUM!</v>
      </c>
      <c r="AZ9" s="6">
        <f t="shared" si="24"/>
        <v>0</v>
      </c>
      <c r="BA9" s="6" t="e">
        <f t="shared" si="25"/>
        <v>#NUM!</v>
      </c>
      <c r="BB9" s="6" t="e">
        <f t="shared" si="26"/>
        <v>#NUM!</v>
      </c>
      <c r="BD9" s="6">
        <f t="shared" si="27"/>
        <v>30098700</v>
      </c>
      <c r="BE9" s="6">
        <f t="shared" si="28"/>
        <v>0</v>
      </c>
      <c r="BF9" s="6">
        <f t="shared" si="29"/>
        <v>0</v>
      </c>
      <c r="BG9" s="6">
        <f t="shared" si="30"/>
        <v>0</v>
      </c>
      <c r="BI9" s="6">
        <f t="shared" si="31"/>
        <v>0</v>
      </c>
      <c r="BJ9" s="6">
        <f t="shared" si="32"/>
        <v>0</v>
      </c>
      <c r="BK9" s="6">
        <f t="shared" ca="1" si="33"/>
        <v>0</v>
      </c>
      <c r="BL9" s="6">
        <f t="shared" si="34"/>
        <v>356457383</v>
      </c>
      <c r="BM9" s="6">
        <f t="shared" si="35"/>
        <v>218866080.94369674</v>
      </c>
      <c r="BN9" s="6">
        <f t="shared" si="36"/>
        <v>46446505.693095475</v>
      </c>
      <c r="BO9" s="6">
        <f t="shared" si="37"/>
        <v>0</v>
      </c>
      <c r="BP9" s="11">
        <f t="shared" si="38"/>
        <v>0.61400350050737129</v>
      </c>
      <c r="BQ9" s="11">
        <f t="shared" si="39"/>
        <v>0.74430380541954499</v>
      </c>
      <c r="BR9" s="11">
        <f t="shared" si="40"/>
        <v>0.74430380541954499</v>
      </c>
      <c r="BS9" s="11">
        <f t="shared" ref="BS9:BU9" si="59">+(1-BP9)</f>
        <v>0.38599649949262871</v>
      </c>
      <c r="BT9" s="11">
        <f t="shared" si="59"/>
        <v>0.25569619458045501</v>
      </c>
      <c r="BU9" s="11">
        <f t="shared" si="59"/>
        <v>0.25569619458045501</v>
      </c>
      <c r="BV9" s="19">
        <f t="shared" ref="BV9:BX9" si="60">ROUND(1/BP9,2)</f>
        <v>1.63</v>
      </c>
      <c r="BW9" s="19">
        <f t="shared" si="60"/>
        <v>1.34</v>
      </c>
      <c r="BX9" s="19">
        <f t="shared" si="60"/>
        <v>1.34</v>
      </c>
      <c r="BY9" s="7">
        <f t="shared" si="43"/>
        <v>44946</v>
      </c>
      <c r="CA9" s="19" t="s">
        <v>44</v>
      </c>
      <c r="CB9" s="7">
        <f>+VLOOKUP(1,BJ$5:BY$40,16,FALSE)</f>
        <v>45005</v>
      </c>
    </row>
    <row r="10" spans="2:80">
      <c r="B10" s="151">
        <f>+Carga!K10</f>
        <v>44977</v>
      </c>
      <c r="C10" s="153">
        <f>+'Calculadora VDFA'!$M$6</f>
        <v>0.61</v>
      </c>
      <c r="E10" s="17">
        <f>Carga!L10</f>
        <v>30320082</v>
      </c>
      <c r="F10" s="17">
        <f t="shared" si="44"/>
        <v>155676591.34322864</v>
      </c>
      <c r="G10" s="153">
        <f>+MAX(Carga!$D$8,MIN(Carga!$F$8,Carga!$E$8+$C10))</f>
        <v>0.61</v>
      </c>
      <c r="H10" s="17">
        <f>F10*G10*Carga!P10/360</f>
        <v>7913560.0599474562</v>
      </c>
      <c r="I10" s="155">
        <f t="shared" si="45"/>
        <v>0</v>
      </c>
      <c r="J10" s="17">
        <f t="shared" si="46"/>
        <v>22406521.940052547</v>
      </c>
      <c r="K10" s="17">
        <f t="shared" si="47"/>
        <v>7913560.0599474534</v>
      </c>
      <c r="L10" s="17">
        <f t="shared" si="0"/>
        <v>30320082</v>
      </c>
      <c r="N10" s="17">
        <f t="shared" si="1"/>
        <v>0</v>
      </c>
      <c r="O10" s="17">
        <f t="shared" si="48"/>
        <v>25110000</v>
      </c>
      <c r="P10" s="153">
        <f>+MAX(Carga!$D$9,MIN(Carga!$F$9,Carga!$E$9+$C10))</f>
        <v>0.63</v>
      </c>
      <c r="Q10" s="17">
        <f>+O10*P10*Carga!P10/360</f>
        <v>1318275</v>
      </c>
      <c r="R10" s="17">
        <f t="shared" si="49"/>
        <v>7909650</v>
      </c>
      <c r="S10" s="17">
        <f t="shared" si="2"/>
        <v>0</v>
      </c>
      <c r="T10" s="17">
        <f t="shared" ref="T10:T65" si="61">IF(N10=0,0,MIN(MAX(N10,0),R9+Q10))</f>
        <v>0</v>
      </c>
      <c r="U10" s="17">
        <f t="shared" si="4"/>
        <v>0</v>
      </c>
      <c r="W10" s="17">
        <f t="shared" si="5"/>
        <v>0</v>
      </c>
      <c r="X10" s="17">
        <f t="shared" si="50"/>
        <v>0</v>
      </c>
      <c r="Y10" s="18">
        <f>+MAX(Carga!$D$10,MIN(Carga!$F$10,Carga!$E$10+$C10))</f>
        <v>0.61</v>
      </c>
      <c r="Z10" s="17">
        <f t="shared" si="51"/>
        <v>0</v>
      </c>
      <c r="AA10" s="17">
        <f t="shared" si="6"/>
        <v>0</v>
      </c>
      <c r="AB10" s="17">
        <f t="shared" si="7"/>
        <v>0</v>
      </c>
      <c r="AC10" s="17">
        <f t="shared" si="8"/>
        <v>0</v>
      </c>
      <c r="AE10" s="17">
        <f t="shared" si="9"/>
        <v>0</v>
      </c>
      <c r="AF10" s="17">
        <f t="shared" si="52"/>
        <v>100</v>
      </c>
      <c r="AG10" s="16" t="b">
        <f t="shared" si="10"/>
        <v>0</v>
      </c>
      <c r="AH10" s="17">
        <f t="shared" si="11"/>
        <v>0</v>
      </c>
      <c r="AI10" s="17">
        <f t="shared" si="12"/>
        <v>0</v>
      </c>
      <c r="AJ10" s="17">
        <f t="shared" si="13"/>
        <v>0</v>
      </c>
      <c r="AL10" s="16">
        <f t="shared" si="14"/>
        <v>188</v>
      </c>
      <c r="AN10" s="17">
        <f t="shared" si="15"/>
        <v>30320082</v>
      </c>
      <c r="AO10" s="17" t="e">
        <f t="shared" si="16"/>
        <v>#NUM!</v>
      </c>
      <c r="AP10" s="16" t="e">
        <f t="shared" si="17"/>
        <v>#NUM!</v>
      </c>
      <c r="AR10" s="17">
        <f t="shared" si="18"/>
        <v>0</v>
      </c>
      <c r="AS10" s="17" t="e">
        <f t="shared" si="19"/>
        <v>#NUM!</v>
      </c>
      <c r="AT10" s="17" t="e">
        <f t="shared" si="20"/>
        <v>#NUM!</v>
      </c>
      <c r="AV10" s="17">
        <f t="shared" si="21"/>
        <v>0</v>
      </c>
      <c r="AW10" s="17" t="e">
        <f t="shared" si="22"/>
        <v>#NUM!</v>
      </c>
      <c r="AX10" s="17" t="e">
        <f t="shared" si="23"/>
        <v>#NUM!</v>
      </c>
      <c r="AZ10" s="17">
        <f t="shared" si="24"/>
        <v>0</v>
      </c>
      <c r="BA10" s="17" t="e">
        <f t="shared" si="25"/>
        <v>#NUM!</v>
      </c>
      <c r="BB10" s="17" t="e">
        <f t="shared" si="26"/>
        <v>#NUM!</v>
      </c>
      <c r="BD10" s="17">
        <f t="shared" si="27"/>
        <v>30320082</v>
      </c>
      <c r="BE10" s="17">
        <f t="shared" si="28"/>
        <v>0</v>
      </c>
      <c r="BF10" s="17">
        <f t="shared" si="29"/>
        <v>0</v>
      </c>
      <c r="BG10" s="17">
        <f t="shared" si="30"/>
        <v>0</v>
      </c>
      <c r="BI10" s="17">
        <f t="shared" si="31"/>
        <v>0</v>
      </c>
      <c r="BJ10" s="17">
        <f t="shared" si="32"/>
        <v>0</v>
      </c>
      <c r="BK10" s="17">
        <f t="shared" ca="1" si="33"/>
        <v>0</v>
      </c>
      <c r="BL10" s="17">
        <f t="shared" si="34"/>
        <v>326358683</v>
      </c>
      <c r="BM10" s="17">
        <f t="shared" si="35"/>
        <v>188767380.94369674</v>
      </c>
      <c r="BN10" s="17">
        <f t="shared" si="36"/>
        <v>46446505.693095475</v>
      </c>
      <c r="BO10" s="17">
        <f t="shared" si="37"/>
        <v>0</v>
      </c>
      <c r="BP10" s="18">
        <f t="shared" si="38"/>
        <v>0.57840465345822201</v>
      </c>
      <c r="BQ10" s="18">
        <f t="shared" si="39"/>
        <v>0.72072201197353225</v>
      </c>
      <c r="BR10" s="18">
        <f t="shared" si="40"/>
        <v>0.72072201197353225</v>
      </c>
      <c r="BS10" s="18">
        <f t="shared" ref="BS10:BU10" si="62">+(1-BP10)</f>
        <v>0.42159534654177799</v>
      </c>
      <c r="BT10" s="18">
        <f t="shared" si="62"/>
        <v>0.27927798802646775</v>
      </c>
      <c r="BU10" s="18">
        <f t="shared" si="62"/>
        <v>0.27927798802646775</v>
      </c>
      <c r="BV10" s="20">
        <f t="shared" ref="BV10:BX10" si="63">ROUND(1/BP10,2)</f>
        <v>1.73</v>
      </c>
      <c r="BW10" s="20">
        <f t="shared" si="63"/>
        <v>1.39</v>
      </c>
      <c r="BX10" s="20">
        <f t="shared" si="63"/>
        <v>1.39</v>
      </c>
      <c r="BY10" s="15">
        <f t="shared" si="43"/>
        <v>44977</v>
      </c>
    </row>
    <row r="11" spans="2:80">
      <c r="B11" s="151">
        <f>+Carga!K11</f>
        <v>45005</v>
      </c>
      <c r="C11" s="152">
        <f>+'Calculadora VDFA'!$M$6</f>
        <v>0.61</v>
      </c>
      <c r="E11" s="6">
        <f>Carga!L11</f>
        <v>29221545</v>
      </c>
      <c r="F11" s="6">
        <f t="shared" si="44"/>
        <v>133270069.4031761</v>
      </c>
      <c r="G11" s="152">
        <f>+MAX(Carga!$D$8,MIN(Carga!$F$8,Carga!$E$8+$C11))</f>
        <v>0.61</v>
      </c>
      <c r="H11" s="6">
        <f>F11*G11*Carga!P11/360</f>
        <v>6774561.8613281185</v>
      </c>
      <c r="I11" s="154">
        <f t="shared" si="45"/>
        <v>0</v>
      </c>
      <c r="J11" s="6">
        <f t="shared" si="46"/>
        <v>22446983.138671882</v>
      </c>
      <c r="K11" s="6">
        <f>MIN(SUM(H$4:H11)-SUM(K$4:K10),E11)</f>
        <v>6774561.8613281175</v>
      </c>
      <c r="L11" s="6">
        <f t="shared" si="0"/>
        <v>29221545</v>
      </c>
      <c r="N11" s="6">
        <f t="shared" si="1"/>
        <v>0</v>
      </c>
      <c r="O11" s="6">
        <f t="shared" si="48"/>
        <v>25110000</v>
      </c>
      <c r="P11" s="152">
        <f>+MAX(Carga!$D$9,MIN(Carga!$F$9,Carga!$E$9+$C11))</f>
        <v>0.63</v>
      </c>
      <c r="Q11" s="6">
        <f>+O11*P11*Carga!P11/360</f>
        <v>1318275</v>
      </c>
      <c r="R11" s="6">
        <f t="shared" si="49"/>
        <v>9227925</v>
      </c>
      <c r="S11" s="6">
        <f t="shared" si="2"/>
        <v>0</v>
      </c>
      <c r="T11" s="6">
        <f t="shared" si="61"/>
        <v>0</v>
      </c>
      <c r="U11" s="6">
        <f t="shared" si="4"/>
        <v>0</v>
      </c>
      <c r="W11" s="6">
        <f t="shared" si="5"/>
        <v>0</v>
      </c>
      <c r="X11" s="6">
        <f t="shared" si="50"/>
        <v>0</v>
      </c>
      <c r="Y11" s="11">
        <f>+MAX(Carga!$D$10,MIN(Carga!$F$10,Carga!$E$10+$C11))</f>
        <v>0.61</v>
      </c>
      <c r="Z11" s="6">
        <f t="shared" si="51"/>
        <v>0</v>
      </c>
      <c r="AA11" s="6">
        <f t="shared" si="6"/>
        <v>0</v>
      </c>
      <c r="AB11" s="6">
        <f t="shared" si="7"/>
        <v>0</v>
      </c>
      <c r="AC11" s="6">
        <f t="shared" si="8"/>
        <v>0</v>
      </c>
      <c r="AE11" s="6">
        <f t="shared" si="9"/>
        <v>0</v>
      </c>
      <c r="AF11" s="6">
        <f t="shared" si="52"/>
        <v>100</v>
      </c>
      <c r="AG11" s="11" t="b">
        <f t="shared" si="10"/>
        <v>0</v>
      </c>
      <c r="AH11" s="6">
        <f t="shared" si="11"/>
        <v>0</v>
      </c>
      <c r="AI11" s="6">
        <f t="shared" si="12"/>
        <v>0</v>
      </c>
      <c r="AJ11" s="6">
        <f t="shared" si="13"/>
        <v>0</v>
      </c>
      <c r="AL11" s="6">
        <f t="shared" si="14"/>
        <v>216</v>
      </c>
      <c r="AN11" s="6">
        <f t="shared" si="15"/>
        <v>29221545</v>
      </c>
      <c r="AO11" s="6" t="e">
        <f t="shared" si="16"/>
        <v>#NUM!</v>
      </c>
      <c r="AP11" s="6" t="e">
        <f t="shared" si="17"/>
        <v>#NUM!</v>
      </c>
      <c r="AR11" s="6">
        <f t="shared" si="18"/>
        <v>0</v>
      </c>
      <c r="AS11" s="6" t="e">
        <f t="shared" si="19"/>
        <v>#NUM!</v>
      </c>
      <c r="AT11" s="6" t="e">
        <f t="shared" si="20"/>
        <v>#NUM!</v>
      </c>
      <c r="AV11" s="6">
        <f t="shared" si="21"/>
        <v>0</v>
      </c>
      <c r="AW11" s="6" t="e">
        <f t="shared" si="22"/>
        <v>#NUM!</v>
      </c>
      <c r="AX11" s="6" t="e">
        <f t="shared" si="23"/>
        <v>#NUM!</v>
      </c>
      <c r="AZ11" s="6">
        <f t="shared" si="24"/>
        <v>0</v>
      </c>
      <c r="BA11" s="6" t="e">
        <f t="shared" si="25"/>
        <v>#NUM!</v>
      </c>
      <c r="BB11" s="6" t="e">
        <f t="shared" si="26"/>
        <v>#NUM!</v>
      </c>
      <c r="BD11" s="6">
        <f t="shared" si="27"/>
        <v>29221545</v>
      </c>
      <c r="BE11" s="6">
        <f t="shared" si="28"/>
        <v>0</v>
      </c>
      <c r="BF11" s="6">
        <f t="shared" si="29"/>
        <v>0</v>
      </c>
      <c r="BG11" s="6">
        <f t="shared" si="30"/>
        <v>0</v>
      </c>
      <c r="BI11" s="6">
        <f t="shared" si="31"/>
        <v>1</v>
      </c>
      <c r="BJ11" s="6">
        <f t="shared" si="32"/>
        <v>1</v>
      </c>
      <c r="BK11" s="6">
        <f t="shared" ca="1" si="33"/>
        <v>0</v>
      </c>
      <c r="BL11" s="6">
        <f t="shared" si="34"/>
        <v>296038601</v>
      </c>
      <c r="BM11" s="6">
        <f t="shared" si="35"/>
        <v>158447298.94369674</v>
      </c>
      <c r="BN11" s="6">
        <f t="shared" si="36"/>
        <v>46446505.693095475</v>
      </c>
      <c r="BO11" s="6">
        <f t="shared" si="37"/>
        <v>0</v>
      </c>
      <c r="BP11" s="11">
        <f t="shared" si="38"/>
        <v>0.53522513080548151</v>
      </c>
      <c r="BQ11" s="11">
        <f t="shared" si="39"/>
        <v>0.69211854111144178</v>
      </c>
      <c r="BR11" s="11">
        <f t="shared" si="40"/>
        <v>0.69211854111144178</v>
      </c>
      <c r="BS11" s="11">
        <f t="shared" ref="BS11:BU11" si="64">+(1-BP11)</f>
        <v>0.46477486919451849</v>
      </c>
      <c r="BT11" s="11">
        <f t="shared" si="64"/>
        <v>0.30788145888855822</v>
      </c>
      <c r="BU11" s="11">
        <f t="shared" si="64"/>
        <v>0.30788145888855822</v>
      </c>
      <c r="BV11" s="19">
        <f t="shared" ref="BV11:BX11" si="65">ROUND(1/BP11,2)</f>
        <v>1.87</v>
      </c>
      <c r="BW11" s="19">
        <f t="shared" si="65"/>
        <v>1.44</v>
      </c>
      <c r="BX11" s="19">
        <f t="shared" si="65"/>
        <v>1.44</v>
      </c>
      <c r="BY11" s="7">
        <f t="shared" si="43"/>
        <v>45005</v>
      </c>
    </row>
    <row r="12" spans="2:80">
      <c r="B12" s="151">
        <f>+Carga!K12</f>
        <v>45036</v>
      </c>
      <c r="C12" s="153">
        <f>+'Calculadora VDFA'!$M$6</f>
        <v>0.61</v>
      </c>
      <c r="E12" s="17">
        <f>Carga!L12</f>
        <v>27979694</v>
      </c>
      <c r="F12" s="17">
        <f t="shared" si="44"/>
        <v>110823086.26450422</v>
      </c>
      <c r="G12" s="153">
        <f>+MAX(Carga!$D$8,MIN(Carga!$F$8,Carga!$E$8+$C12))</f>
        <v>0.61</v>
      </c>
      <c r="H12" s="17">
        <f>F12*G12*Carga!P12/360</f>
        <v>5633506.8851122987</v>
      </c>
      <c r="I12" s="155">
        <f t="shared" si="45"/>
        <v>0</v>
      </c>
      <c r="J12" s="17">
        <f t="shared" si="46"/>
        <v>22346187.114887699</v>
      </c>
      <c r="K12" s="17">
        <f t="shared" si="47"/>
        <v>5633506.8851123005</v>
      </c>
      <c r="L12" s="17">
        <f t="shared" si="0"/>
        <v>27979694</v>
      </c>
      <c r="N12" s="17">
        <f t="shared" si="1"/>
        <v>0</v>
      </c>
      <c r="O12" s="17">
        <f t="shared" si="48"/>
        <v>25110000</v>
      </c>
      <c r="P12" s="153">
        <f>+MAX(Carga!$D$9,MIN(Carga!$F$9,Carga!$E$9+$C12))</f>
        <v>0.63</v>
      </c>
      <c r="Q12" s="17">
        <f>+O12*P12*Carga!P12/360</f>
        <v>1318275</v>
      </c>
      <c r="R12" s="17">
        <f t="shared" si="49"/>
        <v>10546200</v>
      </c>
      <c r="S12" s="17">
        <f t="shared" si="2"/>
        <v>0</v>
      </c>
      <c r="T12" s="17">
        <f t="shared" si="61"/>
        <v>0</v>
      </c>
      <c r="U12" s="17">
        <f t="shared" si="4"/>
        <v>0</v>
      </c>
      <c r="W12" s="17">
        <f t="shared" si="5"/>
        <v>0</v>
      </c>
      <c r="X12" s="17">
        <f t="shared" si="50"/>
        <v>0</v>
      </c>
      <c r="Y12" s="18">
        <f>+MAX(Carga!$D$10,MIN(Carga!$F$10,Carga!$E$10+$C12))</f>
        <v>0.61</v>
      </c>
      <c r="Z12" s="17">
        <f t="shared" si="51"/>
        <v>0</v>
      </c>
      <c r="AA12" s="17">
        <f t="shared" si="6"/>
        <v>0</v>
      </c>
      <c r="AB12" s="17">
        <f t="shared" si="7"/>
        <v>0</v>
      </c>
      <c r="AC12" s="17">
        <f t="shared" si="8"/>
        <v>0</v>
      </c>
      <c r="AE12" s="17">
        <f t="shared" si="9"/>
        <v>0</v>
      </c>
      <c r="AF12" s="17">
        <f t="shared" si="52"/>
        <v>100</v>
      </c>
      <c r="AG12" s="16" t="b">
        <f t="shared" si="10"/>
        <v>0</v>
      </c>
      <c r="AH12" s="17">
        <f t="shared" si="11"/>
        <v>0</v>
      </c>
      <c r="AI12" s="17">
        <f t="shared" si="12"/>
        <v>0</v>
      </c>
      <c r="AJ12" s="17">
        <f t="shared" si="13"/>
        <v>0</v>
      </c>
      <c r="AL12" s="16">
        <f t="shared" si="14"/>
        <v>247</v>
      </c>
      <c r="AN12" s="17">
        <f t="shared" si="15"/>
        <v>27979694</v>
      </c>
      <c r="AO12" s="17" t="e">
        <f t="shared" si="16"/>
        <v>#NUM!</v>
      </c>
      <c r="AP12" s="16" t="e">
        <f t="shared" si="17"/>
        <v>#NUM!</v>
      </c>
      <c r="AR12" s="17">
        <f t="shared" si="18"/>
        <v>0</v>
      </c>
      <c r="AS12" s="17" t="e">
        <f t="shared" si="19"/>
        <v>#NUM!</v>
      </c>
      <c r="AT12" s="17" t="e">
        <f t="shared" si="20"/>
        <v>#NUM!</v>
      </c>
      <c r="AV12" s="17">
        <f t="shared" si="21"/>
        <v>0</v>
      </c>
      <c r="AW12" s="17" t="e">
        <f t="shared" si="22"/>
        <v>#NUM!</v>
      </c>
      <c r="AX12" s="17" t="e">
        <f t="shared" si="23"/>
        <v>#NUM!</v>
      </c>
      <c r="AZ12" s="17">
        <f t="shared" si="24"/>
        <v>0</v>
      </c>
      <c r="BA12" s="17" t="e">
        <f t="shared" si="25"/>
        <v>#NUM!</v>
      </c>
      <c r="BB12" s="17" t="e">
        <f t="shared" si="26"/>
        <v>#NUM!</v>
      </c>
      <c r="BD12" s="17">
        <f t="shared" si="27"/>
        <v>27979694</v>
      </c>
      <c r="BE12" s="17">
        <f t="shared" si="28"/>
        <v>0</v>
      </c>
      <c r="BF12" s="17">
        <f t="shared" si="29"/>
        <v>0</v>
      </c>
      <c r="BG12" s="17">
        <f t="shared" si="30"/>
        <v>0</v>
      </c>
      <c r="BI12" s="17">
        <f t="shared" si="31"/>
        <v>0</v>
      </c>
      <c r="BJ12" s="17">
        <f t="shared" si="32"/>
        <v>0</v>
      </c>
      <c r="BK12" s="17">
        <f t="shared" ca="1" si="33"/>
        <v>0</v>
      </c>
      <c r="BL12" s="17">
        <f t="shared" si="34"/>
        <v>266817056</v>
      </c>
      <c r="BM12" s="17">
        <f t="shared" si="35"/>
        <v>129225753.94369675</v>
      </c>
      <c r="BN12" s="17">
        <f t="shared" si="36"/>
        <v>46446505.693095475</v>
      </c>
      <c r="BO12" s="17">
        <f t="shared" si="37"/>
        <v>0</v>
      </c>
      <c r="BP12" s="18">
        <f t="shared" si="38"/>
        <v>0.48432343824263152</v>
      </c>
      <c r="BQ12" s="18">
        <f t="shared" si="39"/>
        <v>0.65839966256427118</v>
      </c>
      <c r="BR12" s="18">
        <f t="shared" si="40"/>
        <v>0.65839966256427118</v>
      </c>
      <c r="BS12" s="18">
        <f t="shared" ref="BS12:BU12" si="66">+(1-BP12)</f>
        <v>0.51567656175736842</v>
      </c>
      <c r="BT12" s="18">
        <f t="shared" si="66"/>
        <v>0.34160033743572882</v>
      </c>
      <c r="BU12" s="18">
        <f t="shared" si="66"/>
        <v>0.34160033743572882</v>
      </c>
      <c r="BV12" s="20">
        <f t="shared" ref="BV12:BX12" si="67">ROUND(1/BP12,2)</f>
        <v>2.06</v>
      </c>
      <c r="BW12" s="20">
        <f t="shared" si="67"/>
        <v>1.52</v>
      </c>
      <c r="BX12" s="20">
        <f t="shared" si="67"/>
        <v>1.52</v>
      </c>
      <c r="BY12" s="15">
        <f t="shared" si="43"/>
        <v>45036</v>
      </c>
    </row>
    <row r="13" spans="2:80">
      <c r="B13" s="151">
        <f>+Carga!K13</f>
        <v>45068</v>
      </c>
      <c r="C13" s="152">
        <f>+'Calculadora VDFA'!$M$6</f>
        <v>0.61</v>
      </c>
      <c r="E13" s="6">
        <f>Carga!L13</f>
        <v>26117205</v>
      </c>
      <c r="F13" s="6">
        <f t="shared" si="44"/>
        <v>88476899.149616525</v>
      </c>
      <c r="G13" s="152">
        <f>+MAX(Carga!$D$8,MIN(Carga!$F$8,Carga!$E$8+$C13))</f>
        <v>0.61</v>
      </c>
      <c r="H13" s="6">
        <f>F13*G13*Carga!P13/360</f>
        <v>4497575.7067721738</v>
      </c>
      <c r="I13" s="154">
        <f t="shared" si="45"/>
        <v>0</v>
      </c>
      <c r="J13" s="6">
        <f t="shared" si="46"/>
        <v>21619629.293227822</v>
      </c>
      <c r="K13" s="6">
        <f t="shared" si="47"/>
        <v>4497575.7067721784</v>
      </c>
      <c r="L13" s="6">
        <f t="shared" si="0"/>
        <v>26117205</v>
      </c>
      <c r="N13" s="6">
        <f t="shared" si="1"/>
        <v>0</v>
      </c>
      <c r="O13" s="6">
        <f t="shared" si="48"/>
        <v>25110000</v>
      </c>
      <c r="P13" s="152">
        <f>+MAX(Carga!$D$9,MIN(Carga!$F$9,Carga!$E$9+$C13))</f>
        <v>0.63</v>
      </c>
      <c r="Q13" s="6">
        <f>+O13*P13*Carga!P13/360</f>
        <v>1318275</v>
      </c>
      <c r="R13" s="6">
        <f t="shared" si="49"/>
        <v>11864475</v>
      </c>
      <c r="S13" s="6">
        <f t="shared" si="2"/>
        <v>0</v>
      </c>
      <c r="T13" s="6">
        <f t="shared" si="61"/>
        <v>0</v>
      </c>
      <c r="U13" s="6">
        <f t="shared" si="4"/>
        <v>0</v>
      </c>
      <c r="W13" s="6">
        <f t="shared" si="5"/>
        <v>0</v>
      </c>
      <c r="X13" s="6">
        <f t="shared" si="50"/>
        <v>0</v>
      </c>
      <c r="Y13" s="11">
        <f>+MAX(Carga!$D$10,MIN(Carga!$F$10,Carga!$E$10+$C13))</f>
        <v>0.61</v>
      </c>
      <c r="Z13" s="6">
        <f t="shared" si="51"/>
        <v>0</v>
      </c>
      <c r="AA13" s="6">
        <f t="shared" si="6"/>
        <v>0</v>
      </c>
      <c r="AB13" s="6">
        <f t="shared" si="7"/>
        <v>0</v>
      </c>
      <c r="AC13" s="6">
        <f t="shared" si="8"/>
        <v>0</v>
      </c>
      <c r="AE13" s="6">
        <f t="shared" si="9"/>
        <v>0</v>
      </c>
      <c r="AF13" s="6">
        <f t="shared" si="52"/>
        <v>100</v>
      </c>
      <c r="AG13" s="11" t="b">
        <f t="shared" si="10"/>
        <v>0</v>
      </c>
      <c r="AH13" s="6">
        <f t="shared" si="11"/>
        <v>0</v>
      </c>
      <c r="AI13" s="6">
        <f t="shared" si="12"/>
        <v>0</v>
      </c>
      <c r="AJ13" s="6">
        <f t="shared" si="13"/>
        <v>0</v>
      </c>
      <c r="AL13" s="6">
        <f t="shared" si="14"/>
        <v>279</v>
      </c>
      <c r="AN13" s="6">
        <f t="shared" si="15"/>
        <v>26117205</v>
      </c>
      <c r="AO13" s="6" t="e">
        <f t="shared" si="16"/>
        <v>#NUM!</v>
      </c>
      <c r="AP13" s="6" t="e">
        <f t="shared" si="17"/>
        <v>#NUM!</v>
      </c>
      <c r="AR13" s="6">
        <f t="shared" si="18"/>
        <v>0</v>
      </c>
      <c r="AS13" s="6" t="e">
        <f t="shared" si="19"/>
        <v>#NUM!</v>
      </c>
      <c r="AT13" s="6" t="e">
        <f t="shared" si="20"/>
        <v>#NUM!</v>
      </c>
      <c r="AV13" s="6">
        <f t="shared" si="21"/>
        <v>0</v>
      </c>
      <c r="AW13" s="6" t="e">
        <f t="shared" si="22"/>
        <v>#NUM!</v>
      </c>
      <c r="AX13" s="6" t="e">
        <f t="shared" si="23"/>
        <v>#NUM!</v>
      </c>
      <c r="AZ13" s="6">
        <f t="shared" si="24"/>
        <v>0</v>
      </c>
      <c r="BA13" s="6" t="e">
        <f t="shared" si="25"/>
        <v>#NUM!</v>
      </c>
      <c r="BB13" s="6" t="e">
        <f t="shared" si="26"/>
        <v>#NUM!</v>
      </c>
      <c r="BD13" s="6">
        <f t="shared" si="27"/>
        <v>26117205</v>
      </c>
      <c r="BE13" s="6">
        <f t="shared" si="28"/>
        <v>0</v>
      </c>
      <c r="BF13" s="6">
        <f t="shared" si="29"/>
        <v>0</v>
      </c>
      <c r="BG13" s="6">
        <f t="shared" si="30"/>
        <v>0</v>
      </c>
      <c r="BI13" s="6">
        <f t="shared" si="31"/>
        <v>0</v>
      </c>
      <c r="BJ13" s="6">
        <f t="shared" si="32"/>
        <v>0</v>
      </c>
      <c r="BK13" s="6">
        <f t="shared" ca="1" si="33"/>
        <v>0</v>
      </c>
      <c r="BL13" s="6">
        <f t="shared" si="34"/>
        <v>238837362</v>
      </c>
      <c r="BM13" s="6">
        <f t="shared" si="35"/>
        <v>101246059.94369675</v>
      </c>
      <c r="BN13" s="6">
        <f t="shared" si="36"/>
        <v>46446505.693095475</v>
      </c>
      <c r="BO13" s="6">
        <f t="shared" si="37"/>
        <v>0</v>
      </c>
      <c r="BP13" s="11">
        <f t="shared" si="38"/>
        <v>0.42391215133123417</v>
      </c>
      <c r="BQ13" s="11">
        <f t="shared" si="39"/>
        <v>0.61838133029116371</v>
      </c>
      <c r="BR13" s="11">
        <f t="shared" si="40"/>
        <v>0.61838133029116371</v>
      </c>
      <c r="BS13" s="11">
        <f t="shared" ref="BS13:BU13" si="68">+(1-BP13)</f>
        <v>0.57608784866876583</v>
      </c>
      <c r="BT13" s="11">
        <f t="shared" si="68"/>
        <v>0.38161866970883629</v>
      </c>
      <c r="BU13" s="11">
        <f t="shared" si="68"/>
        <v>0.38161866970883629</v>
      </c>
      <c r="BV13" s="19">
        <f t="shared" ref="BV13:BX13" si="69">ROUND(1/BP13,2)</f>
        <v>2.36</v>
      </c>
      <c r="BW13" s="19">
        <f t="shared" si="69"/>
        <v>1.62</v>
      </c>
      <c r="BX13" s="19">
        <f t="shared" si="69"/>
        <v>1.62</v>
      </c>
      <c r="BY13" s="7">
        <f t="shared" si="43"/>
        <v>45068</v>
      </c>
    </row>
    <row r="14" spans="2:80">
      <c r="B14" s="151">
        <f>+Carga!K14</f>
        <v>45098</v>
      </c>
      <c r="C14" s="153">
        <f>+'Calculadora VDFA'!$M$6</f>
        <v>0.61</v>
      </c>
      <c r="E14" s="17">
        <f>Carga!L14</f>
        <v>23126253</v>
      </c>
      <c r="F14" s="17">
        <f t="shared" si="44"/>
        <v>66857269.856388703</v>
      </c>
      <c r="G14" s="153">
        <f>+MAX(Carga!$D$8,MIN(Carga!$F$8,Carga!$E$8+$C14))</f>
        <v>0.61</v>
      </c>
      <c r="H14" s="17">
        <f>F14*G14*Carga!P14/360</f>
        <v>3398577.8843664257</v>
      </c>
      <c r="I14" s="155">
        <f t="shared" si="45"/>
        <v>0</v>
      </c>
      <c r="J14" s="17">
        <f t="shared" si="46"/>
        <v>19727675.115633577</v>
      </c>
      <c r="K14" s="17">
        <f t="shared" si="47"/>
        <v>3398577.8843664229</v>
      </c>
      <c r="L14" s="17">
        <f t="shared" si="0"/>
        <v>23126253</v>
      </c>
      <c r="N14" s="17">
        <f t="shared" si="1"/>
        <v>0</v>
      </c>
      <c r="O14" s="17">
        <f t="shared" si="48"/>
        <v>25110000</v>
      </c>
      <c r="P14" s="153">
        <f>+MAX(Carga!$D$9,MIN(Carga!$F$9,Carga!$E$9+$C14))</f>
        <v>0.63</v>
      </c>
      <c r="Q14" s="17">
        <f>+O14*P14*Carga!P14/360</f>
        <v>1318275</v>
      </c>
      <c r="R14" s="17">
        <f t="shared" si="49"/>
        <v>13182750</v>
      </c>
      <c r="S14" s="17">
        <f t="shared" si="2"/>
        <v>0</v>
      </c>
      <c r="T14" s="17">
        <f t="shared" si="61"/>
        <v>0</v>
      </c>
      <c r="U14" s="17">
        <f t="shared" si="4"/>
        <v>0</v>
      </c>
      <c r="W14" s="17">
        <f t="shared" si="5"/>
        <v>0</v>
      </c>
      <c r="X14" s="17">
        <f t="shared" si="50"/>
        <v>0</v>
      </c>
      <c r="Y14" s="18">
        <f>+MAX(Carga!$D$10,MIN(Carga!$F$10,Carga!$E$10+$C14))</f>
        <v>0.61</v>
      </c>
      <c r="Z14" s="17">
        <f t="shared" si="51"/>
        <v>0</v>
      </c>
      <c r="AA14" s="17">
        <f t="shared" si="6"/>
        <v>0</v>
      </c>
      <c r="AB14" s="17">
        <f t="shared" si="7"/>
        <v>0</v>
      </c>
      <c r="AC14" s="17">
        <f t="shared" si="8"/>
        <v>0</v>
      </c>
      <c r="AE14" s="17">
        <f t="shared" si="9"/>
        <v>0</v>
      </c>
      <c r="AF14" s="17">
        <f t="shared" si="52"/>
        <v>100</v>
      </c>
      <c r="AG14" s="16" t="b">
        <f t="shared" si="10"/>
        <v>0</v>
      </c>
      <c r="AH14" s="17">
        <f t="shared" si="11"/>
        <v>0</v>
      </c>
      <c r="AI14" s="17">
        <f t="shared" si="12"/>
        <v>0</v>
      </c>
      <c r="AJ14" s="17">
        <f t="shared" si="13"/>
        <v>0</v>
      </c>
      <c r="AL14" s="16">
        <f t="shared" si="14"/>
        <v>309</v>
      </c>
      <c r="AN14" s="17">
        <f t="shared" si="15"/>
        <v>23126253</v>
      </c>
      <c r="AO14" s="17" t="e">
        <f t="shared" si="16"/>
        <v>#NUM!</v>
      </c>
      <c r="AP14" s="16" t="e">
        <f t="shared" si="17"/>
        <v>#NUM!</v>
      </c>
      <c r="AR14" s="17">
        <f t="shared" si="18"/>
        <v>0</v>
      </c>
      <c r="AS14" s="17" t="e">
        <f t="shared" si="19"/>
        <v>#NUM!</v>
      </c>
      <c r="AT14" s="17" t="e">
        <f t="shared" si="20"/>
        <v>#NUM!</v>
      </c>
      <c r="AV14" s="17">
        <f t="shared" si="21"/>
        <v>0</v>
      </c>
      <c r="AW14" s="17" t="e">
        <f t="shared" si="22"/>
        <v>#NUM!</v>
      </c>
      <c r="AX14" s="17" t="e">
        <f t="shared" si="23"/>
        <v>#NUM!</v>
      </c>
      <c r="AZ14" s="17">
        <f t="shared" si="24"/>
        <v>0</v>
      </c>
      <c r="BA14" s="17" t="e">
        <f t="shared" si="25"/>
        <v>#NUM!</v>
      </c>
      <c r="BB14" s="17" t="e">
        <f t="shared" si="26"/>
        <v>#NUM!</v>
      </c>
      <c r="BD14" s="17">
        <f t="shared" si="27"/>
        <v>23126253</v>
      </c>
      <c r="BE14" s="17">
        <f t="shared" si="28"/>
        <v>0</v>
      </c>
      <c r="BF14" s="17">
        <f t="shared" si="29"/>
        <v>0</v>
      </c>
      <c r="BG14" s="17">
        <f t="shared" si="30"/>
        <v>0</v>
      </c>
      <c r="BI14" s="17">
        <f t="shared" si="31"/>
        <v>0</v>
      </c>
      <c r="BJ14" s="17">
        <f t="shared" si="32"/>
        <v>0</v>
      </c>
      <c r="BK14" s="17">
        <f t="shared" ca="1" si="33"/>
        <v>0</v>
      </c>
      <c r="BL14" s="17">
        <f t="shared" si="34"/>
        <v>212720157</v>
      </c>
      <c r="BM14" s="17">
        <f t="shared" si="35"/>
        <v>75128854.943696752</v>
      </c>
      <c r="BN14" s="17">
        <f t="shared" si="36"/>
        <v>46446505.693095475</v>
      </c>
      <c r="BO14" s="17">
        <f t="shared" si="37"/>
        <v>0</v>
      </c>
      <c r="BP14" s="18">
        <f t="shared" si="38"/>
        <v>0.3531816448579283</v>
      </c>
      <c r="BQ14" s="18">
        <f t="shared" si="39"/>
        <v>0.57152722314318449</v>
      </c>
      <c r="BR14" s="18">
        <f t="shared" si="40"/>
        <v>0.57152722314318449</v>
      </c>
      <c r="BS14" s="18">
        <f t="shared" ref="BS14:BU14" si="70">+(1-BP14)</f>
        <v>0.64681835514207164</v>
      </c>
      <c r="BT14" s="18">
        <f t="shared" si="70"/>
        <v>0.42847277685681551</v>
      </c>
      <c r="BU14" s="18">
        <f t="shared" si="70"/>
        <v>0.42847277685681551</v>
      </c>
      <c r="BV14" s="20">
        <f t="shared" ref="BV14:BX14" si="71">ROUND(1/BP14,2)</f>
        <v>2.83</v>
      </c>
      <c r="BW14" s="20">
        <f t="shared" si="71"/>
        <v>1.75</v>
      </c>
      <c r="BX14" s="20">
        <f t="shared" si="71"/>
        <v>1.75</v>
      </c>
      <c r="BY14" s="15">
        <f t="shared" si="43"/>
        <v>45098</v>
      </c>
    </row>
    <row r="15" spans="2:80">
      <c r="B15" s="151">
        <f>+Carga!K15</f>
        <v>45127</v>
      </c>
      <c r="C15" s="152">
        <f>+'Calculadora VDFA'!$M$6</f>
        <v>0.61</v>
      </c>
      <c r="E15" s="6">
        <f>Carga!L15</f>
        <v>18874872</v>
      </c>
      <c r="F15" s="6">
        <f t="shared" si="44"/>
        <v>47129594.740755126</v>
      </c>
      <c r="G15" s="11">
        <f>+MAX(Carga!$D$8,MIN(Carga!$F$8,Carga!$E$8+$C15))</f>
        <v>0.61</v>
      </c>
      <c r="H15" s="6">
        <f>F15*G15*Carga!P15/360</f>
        <v>2395754.3993217186</v>
      </c>
      <c r="I15" s="154">
        <f t="shared" si="45"/>
        <v>0</v>
      </c>
      <c r="J15" s="6">
        <f t="shared" si="46"/>
        <v>16479117.60067828</v>
      </c>
      <c r="K15" s="6">
        <f t="shared" si="47"/>
        <v>2395754.39932172</v>
      </c>
      <c r="L15" s="6">
        <f t="shared" si="0"/>
        <v>18874872</v>
      </c>
      <c r="N15" s="6">
        <f t="shared" si="1"/>
        <v>0</v>
      </c>
      <c r="O15" s="6">
        <f t="shared" si="48"/>
        <v>25110000</v>
      </c>
      <c r="P15" s="11">
        <f>+MAX(Carga!$D$9,MIN(Carga!$F$9,Carga!$E$9+$C15))</f>
        <v>0.63</v>
      </c>
      <c r="Q15" s="6">
        <f>+O15*P15*Carga!P15/360</f>
        <v>1318275</v>
      </c>
      <c r="R15" s="6">
        <f t="shared" si="49"/>
        <v>14501025</v>
      </c>
      <c r="S15" s="6">
        <f t="shared" si="2"/>
        <v>0</v>
      </c>
      <c r="T15" s="6">
        <f t="shared" si="61"/>
        <v>0</v>
      </c>
      <c r="U15" s="6">
        <f t="shared" si="4"/>
        <v>0</v>
      </c>
      <c r="W15" s="6">
        <f t="shared" si="5"/>
        <v>0</v>
      </c>
      <c r="X15" s="6">
        <f t="shared" si="50"/>
        <v>0</v>
      </c>
      <c r="Y15" s="11">
        <f>+MAX(Carga!$D$10,MIN(Carga!$F$10,Carga!$E$10+$C15))</f>
        <v>0.61</v>
      </c>
      <c r="Z15" s="6">
        <f t="shared" si="51"/>
        <v>0</v>
      </c>
      <c r="AA15" s="6">
        <f t="shared" si="6"/>
        <v>0</v>
      </c>
      <c r="AB15" s="6">
        <f t="shared" si="7"/>
        <v>0</v>
      </c>
      <c r="AC15" s="6">
        <f t="shared" si="8"/>
        <v>0</v>
      </c>
      <c r="AE15" s="6">
        <f t="shared" si="9"/>
        <v>0</v>
      </c>
      <c r="AF15" s="6">
        <f t="shared" si="52"/>
        <v>100</v>
      </c>
      <c r="AG15" s="11" t="b">
        <f t="shared" si="10"/>
        <v>0</v>
      </c>
      <c r="AH15" s="6">
        <f t="shared" si="11"/>
        <v>0</v>
      </c>
      <c r="AI15" s="6">
        <f t="shared" si="12"/>
        <v>0</v>
      </c>
      <c r="AJ15" s="6">
        <f t="shared" si="13"/>
        <v>0</v>
      </c>
      <c r="AL15" s="6">
        <f t="shared" si="14"/>
        <v>338</v>
      </c>
      <c r="AN15" s="6">
        <f t="shared" si="15"/>
        <v>18874872</v>
      </c>
      <c r="AO15" s="6" t="e">
        <f t="shared" si="16"/>
        <v>#NUM!</v>
      </c>
      <c r="AP15" s="6" t="e">
        <f t="shared" si="17"/>
        <v>#NUM!</v>
      </c>
      <c r="AR15" s="6">
        <f t="shared" si="18"/>
        <v>0</v>
      </c>
      <c r="AS15" s="6" t="e">
        <f t="shared" si="19"/>
        <v>#NUM!</v>
      </c>
      <c r="AT15" s="6" t="e">
        <f t="shared" si="20"/>
        <v>#NUM!</v>
      </c>
      <c r="AV15" s="6">
        <f t="shared" si="21"/>
        <v>0</v>
      </c>
      <c r="AW15" s="6" t="e">
        <f t="shared" si="22"/>
        <v>#NUM!</v>
      </c>
      <c r="AX15" s="6" t="e">
        <f t="shared" si="23"/>
        <v>#NUM!</v>
      </c>
      <c r="AZ15" s="6">
        <f t="shared" si="24"/>
        <v>0</v>
      </c>
      <c r="BA15" s="6" t="e">
        <f t="shared" si="25"/>
        <v>#NUM!</v>
      </c>
      <c r="BB15" s="6" t="e">
        <f t="shared" si="26"/>
        <v>#NUM!</v>
      </c>
      <c r="BD15" s="6">
        <f t="shared" si="27"/>
        <v>18874872</v>
      </c>
      <c r="BE15" s="6">
        <f t="shared" si="28"/>
        <v>0</v>
      </c>
      <c r="BF15" s="6">
        <f t="shared" si="29"/>
        <v>0</v>
      </c>
      <c r="BG15" s="6">
        <f t="shared" si="30"/>
        <v>0</v>
      </c>
      <c r="BI15" s="6">
        <f t="shared" si="31"/>
        <v>0</v>
      </c>
      <c r="BJ15" s="6">
        <f t="shared" si="32"/>
        <v>0</v>
      </c>
      <c r="BK15" s="6">
        <f t="shared" ca="1" si="33"/>
        <v>0</v>
      </c>
      <c r="BL15" s="6">
        <f t="shared" si="34"/>
        <v>189593904</v>
      </c>
      <c r="BM15" s="6">
        <f t="shared" si="35"/>
        <v>52002601.943696752</v>
      </c>
      <c r="BN15" s="6">
        <f t="shared" si="36"/>
        <v>46446505.693095475</v>
      </c>
      <c r="BO15" s="6">
        <f t="shared" si="37"/>
        <v>0</v>
      </c>
      <c r="BP15" s="11">
        <f t="shared" si="38"/>
        <v>0.27428414546333069</v>
      </c>
      <c r="BQ15" s="11">
        <f t="shared" si="39"/>
        <v>0.51926304358811148</v>
      </c>
      <c r="BR15" s="11">
        <f t="shared" si="40"/>
        <v>0.51926304358811148</v>
      </c>
      <c r="BS15" s="11">
        <f t="shared" ref="BS15:BU15" si="72">+(1-BP15)</f>
        <v>0.72571585453666931</v>
      </c>
      <c r="BT15" s="11">
        <f t="shared" si="72"/>
        <v>0.48073695641188852</v>
      </c>
      <c r="BU15" s="11">
        <f t="shared" si="72"/>
        <v>0.48073695641188852</v>
      </c>
      <c r="BV15" s="19">
        <f t="shared" ref="BV15:BX15" si="73">ROUND(1/BP15,2)</f>
        <v>3.65</v>
      </c>
      <c r="BW15" s="19">
        <f t="shared" si="73"/>
        <v>1.93</v>
      </c>
      <c r="BX15" s="19">
        <f t="shared" si="73"/>
        <v>1.93</v>
      </c>
      <c r="BY15" s="7">
        <f t="shared" si="43"/>
        <v>45127</v>
      </c>
    </row>
    <row r="16" spans="2:80">
      <c r="B16" s="151">
        <f>+Carga!K16</f>
        <v>45159</v>
      </c>
      <c r="C16" s="153">
        <f>+'Calculadora VDFA'!$M$6</f>
        <v>0.61</v>
      </c>
      <c r="E16" s="17">
        <f>Carga!L16</f>
        <v>15939636</v>
      </c>
      <c r="F16" s="17">
        <f t="shared" si="44"/>
        <v>30650477.140076846</v>
      </c>
      <c r="G16" s="18">
        <f>+MAX(Carga!$D$8,MIN(Carga!$F$8,Carga!$E$8+$C16))</f>
        <v>0.61</v>
      </c>
      <c r="H16" s="17">
        <f>F16*G16*Carga!P16/360</f>
        <v>1558065.9212872395</v>
      </c>
      <c r="I16" s="155">
        <f t="shared" si="45"/>
        <v>0</v>
      </c>
      <c r="J16" s="17">
        <f t="shared" si="46"/>
        <v>14381570.078712761</v>
      </c>
      <c r="K16" s="17">
        <f t="shared" si="47"/>
        <v>1558065.9212872386</v>
      </c>
      <c r="L16" s="17">
        <f t="shared" si="0"/>
        <v>15939636</v>
      </c>
      <c r="N16" s="17">
        <f t="shared" si="1"/>
        <v>0</v>
      </c>
      <c r="O16" s="17">
        <f t="shared" si="48"/>
        <v>25110000</v>
      </c>
      <c r="P16" s="18">
        <f>+MAX(Carga!$D$9,MIN(Carga!$F$9,Carga!$E$9+$C16))</f>
        <v>0.63</v>
      </c>
      <c r="Q16" s="17">
        <f>+O16*P16*Carga!P16/360</f>
        <v>1318275</v>
      </c>
      <c r="R16" s="17">
        <f t="shared" si="49"/>
        <v>15819300</v>
      </c>
      <c r="S16" s="17">
        <f t="shared" si="2"/>
        <v>0</v>
      </c>
      <c r="T16" s="17">
        <f t="shared" si="61"/>
        <v>0</v>
      </c>
      <c r="U16" s="17">
        <f t="shared" si="4"/>
        <v>0</v>
      </c>
      <c r="W16" s="17">
        <f t="shared" si="5"/>
        <v>0</v>
      </c>
      <c r="X16" s="17">
        <f t="shared" si="50"/>
        <v>0</v>
      </c>
      <c r="Y16" s="18">
        <f>+MAX(Carga!$D$10,MIN(Carga!$F$10,Carga!$E$10+$C16))</f>
        <v>0.61</v>
      </c>
      <c r="Z16" s="17">
        <f t="shared" si="51"/>
        <v>0</v>
      </c>
      <c r="AA16" s="17">
        <f t="shared" si="6"/>
        <v>0</v>
      </c>
      <c r="AB16" s="17">
        <f t="shared" si="7"/>
        <v>0</v>
      </c>
      <c r="AC16" s="17">
        <f t="shared" si="8"/>
        <v>0</v>
      </c>
      <c r="AE16" s="17">
        <f t="shared" si="9"/>
        <v>0</v>
      </c>
      <c r="AF16" s="17">
        <f t="shared" si="52"/>
        <v>100</v>
      </c>
      <c r="AG16" s="16" t="b">
        <f t="shared" si="10"/>
        <v>0</v>
      </c>
      <c r="AH16" s="17">
        <f t="shared" si="11"/>
        <v>0</v>
      </c>
      <c r="AI16" s="17">
        <f t="shared" si="12"/>
        <v>0</v>
      </c>
      <c r="AJ16" s="17">
        <f t="shared" si="13"/>
        <v>0</v>
      </c>
      <c r="AL16" s="16">
        <f t="shared" si="14"/>
        <v>370</v>
      </c>
      <c r="AN16" s="17">
        <f t="shared" si="15"/>
        <v>15939636</v>
      </c>
      <c r="AO16" s="17" t="e">
        <f t="shared" si="16"/>
        <v>#NUM!</v>
      </c>
      <c r="AP16" s="16" t="e">
        <f t="shared" si="17"/>
        <v>#NUM!</v>
      </c>
      <c r="AR16" s="17">
        <f t="shared" si="18"/>
        <v>0</v>
      </c>
      <c r="AS16" s="17" t="e">
        <f t="shared" si="19"/>
        <v>#NUM!</v>
      </c>
      <c r="AT16" s="17" t="e">
        <f t="shared" si="20"/>
        <v>#NUM!</v>
      </c>
      <c r="AV16" s="17">
        <f t="shared" si="21"/>
        <v>0</v>
      </c>
      <c r="AW16" s="17" t="e">
        <f t="shared" si="22"/>
        <v>#NUM!</v>
      </c>
      <c r="AX16" s="17" t="e">
        <f t="shared" si="23"/>
        <v>#NUM!</v>
      </c>
      <c r="AZ16" s="17">
        <f t="shared" si="24"/>
        <v>0</v>
      </c>
      <c r="BA16" s="17" t="e">
        <f t="shared" si="25"/>
        <v>#NUM!</v>
      </c>
      <c r="BB16" s="17" t="e">
        <f t="shared" si="26"/>
        <v>#NUM!</v>
      </c>
      <c r="BD16" s="17">
        <f t="shared" si="27"/>
        <v>15939636</v>
      </c>
      <c r="BE16" s="17">
        <f t="shared" si="28"/>
        <v>0</v>
      </c>
      <c r="BF16" s="17">
        <f t="shared" si="29"/>
        <v>0</v>
      </c>
      <c r="BG16" s="17">
        <f t="shared" si="30"/>
        <v>0</v>
      </c>
      <c r="BI16" s="17">
        <f t="shared" si="31"/>
        <v>0</v>
      </c>
      <c r="BJ16" s="17">
        <f t="shared" si="32"/>
        <v>0</v>
      </c>
      <c r="BK16" s="17">
        <f t="shared" ca="1" si="33"/>
        <v>0</v>
      </c>
      <c r="BL16" s="17">
        <f t="shared" si="34"/>
        <v>170719032</v>
      </c>
      <c r="BM16" s="17">
        <f t="shared" si="35"/>
        <v>33127729.943696752</v>
      </c>
      <c r="BN16" s="17">
        <f t="shared" si="36"/>
        <v>46446505.693095475</v>
      </c>
      <c r="BO16" s="17">
        <f t="shared" si="37"/>
        <v>0</v>
      </c>
      <c r="BP16" s="18">
        <f t="shared" si="38"/>
        <v>0.19404825317716629</v>
      </c>
      <c r="BQ16" s="18">
        <f t="shared" si="39"/>
        <v>0.4661122705803078</v>
      </c>
      <c r="BR16" s="18">
        <f t="shared" si="40"/>
        <v>0.4661122705803078</v>
      </c>
      <c r="BS16" s="18">
        <f t="shared" ref="BS16:BU16" si="74">+(1-BP16)</f>
        <v>0.80595174682283366</v>
      </c>
      <c r="BT16" s="18">
        <f t="shared" si="74"/>
        <v>0.5338877294196922</v>
      </c>
      <c r="BU16" s="18">
        <f t="shared" si="74"/>
        <v>0.5338877294196922</v>
      </c>
      <c r="BV16" s="20">
        <f t="shared" ref="BV16:BX16" si="75">ROUND(1/BP16,2)</f>
        <v>5.15</v>
      </c>
      <c r="BW16" s="20">
        <f t="shared" si="75"/>
        <v>2.15</v>
      </c>
      <c r="BX16" s="20">
        <f t="shared" si="75"/>
        <v>2.15</v>
      </c>
      <c r="BY16" s="15">
        <f t="shared" si="43"/>
        <v>45159</v>
      </c>
    </row>
    <row r="17" spans="2:77">
      <c r="B17" s="151">
        <f>+Carga!K17</f>
        <v>45189</v>
      </c>
      <c r="C17" s="152">
        <f>+'Calculadora VDFA'!$M$6</f>
        <v>0.61</v>
      </c>
      <c r="E17" s="6">
        <f>Carga!L17</f>
        <v>15282452</v>
      </c>
      <c r="F17" s="6">
        <f>SUM(F16,-J16)</f>
        <v>16268907.061364084</v>
      </c>
      <c r="G17" s="11">
        <f>+MAX(Carga!$D$8,MIN(Carga!$F$8,Carga!$E$8+$C17))</f>
        <v>0.61</v>
      </c>
      <c r="H17" s="6">
        <f>F17*G17*Carga!P17/360</f>
        <v>827002.77561934094</v>
      </c>
      <c r="I17" s="154">
        <f t="shared" si="45"/>
        <v>-1.9790604710578918E-9</v>
      </c>
      <c r="J17" s="6">
        <f t="shared" si="46"/>
        <v>14455449.224380657</v>
      </c>
      <c r="K17" s="6">
        <f t="shared" si="47"/>
        <v>827002.77561934292</v>
      </c>
      <c r="L17" s="6">
        <f t="shared" si="0"/>
        <v>15282452</v>
      </c>
      <c r="N17" s="6">
        <f>MAX(E17-L17,0)</f>
        <v>0</v>
      </c>
      <c r="O17" s="6">
        <f t="shared" si="48"/>
        <v>25110000</v>
      </c>
      <c r="P17" s="11">
        <f>+MAX(Carga!$D$9,MIN(Carga!$F$9,Carga!$E$9+$C17))</f>
        <v>0.63</v>
      </c>
      <c r="Q17" s="6">
        <f>+O17*P17*Carga!P17/360</f>
        <v>1318275</v>
      </c>
      <c r="R17" s="6">
        <f t="shared" si="49"/>
        <v>17137575</v>
      </c>
      <c r="S17" s="6">
        <f t="shared" si="2"/>
        <v>0</v>
      </c>
      <c r="T17" s="6">
        <f t="shared" si="61"/>
        <v>0</v>
      </c>
      <c r="U17" s="6">
        <f t="shared" si="4"/>
        <v>0</v>
      </c>
      <c r="W17" s="6">
        <f t="shared" si="5"/>
        <v>0</v>
      </c>
      <c r="X17" s="6">
        <f t="shared" si="50"/>
        <v>0</v>
      </c>
      <c r="Y17" s="11">
        <f>+MAX(Carga!$D$10,MIN(Carga!$F$10,Carga!$E$10+$C17))</f>
        <v>0.61</v>
      </c>
      <c r="Z17" s="6">
        <f t="shared" si="51"/>
        <v>0</v>
      </c>
      <c r="AA17" s="6">
        <f t="shared" si="6"/>
        <v>0</v>
      </c>
      <c r="AB17" s="6">
        <f t="shared" si="7"/>
        <v>0</v>
      </c>
      <c r="AC17" s="6">
        <f t="shared" si="8"/>
        <v>0</v>
      </c>
      <c r="AE17" s="6">
        <f t="shared" si="9"/>
        <v>0</v>
      </c>
      <c r="AF17" s="6">
        <f t="shared" si="52"/>
        <v>100</v>
      </c>
      <c r="AG17" s="11" t="b">
        <f t="shared" si="10"/>
        <v>0</v>
      </c>
      <c r="AH17" s="6">
        <f t="shared" si="11"/>
        <v>0</v>
      </c>
      <c r="AI17" s="6">
        <f t="shared" si="12"/>
        <v>0</v>
      </c>
      <c r="AJ17" s="6">
        <f t="shared" si="13"/>
        <v>0</v>
      </c>
      <c r="AL17" s="6">
        <f t="shared" si="14"/>
        <v>400</v>
      </c>
      <c r="AN17" s="6">
        <f t="shared" si="15"/>
        <v>15282452</v>
      </c>
      <c r="AO17" s="6" t="e">
        <f t="shared" si="16"/>
        <v>#NUM!</v>
      </c>
      <c r="AP17" s="6" t="e">
        <f t="shared" si="17"/>
        <v>#NUM!</v>
      </c>
      <c r="AR17" s="6">
        <f t="shared" si="18"/>
        <v>0</v>
      </c>
      <c r="AS17" s="6" t="e">
        <f t="shared" si="19"/>
        <v>#NUM!</v>
      </c>
      <c r="AT17" s="6" t="e">
        <f t="shared" si="20"/>
        <v>#NUM!</v>
      </c>
      <c r="AV17" s="6">
        <f t="shared" si="21"/>
        <v>0</v>
      </c>
      <c r="AW17" s="6" t="e">
        <f t="shared" si="22"/>
        <v>#NUM!</v>
      </c>
      <c r="AX17" s="6" t="e">
        <f t="shared" si="23"/>
        <v>#NUM!</v>
      </c>
      <c r="AZ17" s="6">
        <f t="shared" si="24"/>
        <v>0</v>
      </c>
      <c r="BA17" s="6" t="e">
        <f t="shared" si="25"/>
        <v>#NUM!</v>
      </c>
      <c r="BB17" s="6" t="e">
        <f t="shared" si="26"/>
        <v>#NUM!</v>
      </c>
      <c r="BD17" s="6">
        <f t="shared" si="27"/>
        <v>15282452</v>
      </c>
      <c r="BE17" s="6">
        <f t="shared" si="28"/>
        <v>0</v>
      </c>
      <c r="BF17" s="6">
        <f t="shared" si="29"/>
        <v>0</v>
      </c>
      <c r="BG17" s="6">
        <f t="shared" si="30"/>
        <v>0</v>
      </c>
      <c r="BI17" s="6">
        <f t="shared" si="31"/>
        <v>0</v>
      </c>
      <c r="BJ17" s="6">
        <f t="shared" si="32"/>
        <v>0</v>
      </c>
      <c r="BK17" s="6">
        <f t="shared" ca="1" si="33"/>
        <v>0</v>
      </c>
      <c r="BL17" s="6">
        <f t="shared" si="34"/>
        <v>154779396</v>
      </c>
      <c r="BM17" s="6">
        <f t="shared" si="35"/>
        <v>17188093.943696752</v>
      </c>
      <c r="BN17" s="6">
        <f t="shared" si="36"/>
        <v>46446505.693095475</v>
      </c>
      <c r="BO17" s="6">
        <f t="shared" si="37"/>
        <v>0</v>
      </c>
      <c r="BP17" s="11">
        <f t="shared" si="38"/>
        <v>0.11104897930792257</v>
      </c>
      <c r="BQ17" s="11">
        <f t="shared" si="39"/>
        <v>0.41113094689161489</v>
      </c>
      <c r="BR17" s="11">
        <f t="shared" si="40"/>
        <v>0.41113094689161489</v>
      </c>
      <c r="BS17" s="11">
        <f t="shared" ref="BS17:BU17" si="76">+(1-BP17)</f>
        <v>0.88895102069207743</v>
      </c>
      <c r="BT17" s="11">
        <f t="shared" si="76"/>
        <v>0.58886905310838511</v>
      </c>
      <c r="BU17" s="11">
        <f t="shared" si="76"/>
        <v>0.58886905310838511</v>
      </c>
      <c r="BV17" s="19">
        <f t="shared" ref="BV17:BX17" si="77">ROUND(1/BP17,2)</f>
        <v>9.01</v>
      </c>
      <c r="BW17" s="19">
        <f t="shared" si="77"/>
        <v>2.4300000000000002</v>
      </c>
      <c r="BX17" s="19">
        <f t="shared" si="77"/>
        <v>2.4300000000000002</v>
      </c>
      <c r="BY17" s="7">
        <f t="shared" si="43"/>
        <v>45189</v>
      </c>
    </row>
    <row r="18" spans="2:77">
      <c r="B18" s="151">
        <f>+Carga!K18</f>
        <v>45219</v>
      </c>
      <c r="C18" s="153">
        <f>+'Calculadora VDFA'!$M$6</f>
        <v>0.61</v>
      </c>
      <c r="E18" s="17">
        <f>Carga!L18</f>
        <v>14219818</v>
      </c>
      <c r="F18" s="17">
        <f t="shared" si="44"/>
        <v>1813457.8369834274</v>
      </c>
      <c r="G18" s="18">
        <f>+MAX(Carga!$D$8,MIN(Carga!$F$8,Carga!$E$8+$C18))</f>
        <v>0.61</v>
      </c>
      <c r="H18" s="17">
        <f>F18*G18*Carga!P18/360</f>
        <v>92184.106713324232</v>
      </c>
      <c r="I18" s="155">
        <f t="shared" si="45"/>
        <v>-2.5320332497358322E-9</v>
      </c>
      <c r="J18" s="17">
        <f t="shared" si="46"/>
        <v>1813457.8369834274</v>
      </c>
      <c r="K18" s="17">
        <f t="shared" si="47"/>
        <v>92184.106713324785</v>
      </c>
      <c r="L18" s="17">
        <f t="shared" si="0"/>
        <v>1905641.9436967522</v>
      </c>
      <c r="N18" s="17">
        <f t="shared" si="1"/>
        <v>12314176.056303248</v>
      </c>
      <c r="O18" s="17">
        <f t="shared" si="48"/>
        <v>25110000</v>
      </c>
      <c r="P18" s="18">
        <f>+MAX(Carga!$D$9,MIN(Carga!$F$9,Carga!$E$9+$C18))</f>
        <v>0.63</v>
      </c>
      <c r="Q18" s="17">
        <f>+O18*P18*Carga!P18/360</f>
        <v>1318275</v>
      </c>
      <c r="R18" s="17">
        <f t="shared" si="49"/>
        <v>6141673.9436967522</v>
      </c>
      <c r="S18" s="17">
        <f t="shared" si="2"/>
        <v>0</v>
      </c>
      <c r="T18" s="17">
        <f t="shared" si="61"/>
        <v>12314176.056303248</v>
      </c>
      <c r="U18" s="17">
        <f t="shared" si="4"/>
        <v>12314176.056303248</v>
      </c>
      <c r="W18" s="17">
        <f t="shared" si="5"/>
        <v>0</v>
      </c>
      <c r="X18" s="17">
        <f t="shared" si="50"/>
        <v>0</v>
      </c>
      <c r="Y18" s="18">
        <f>+MAX(Carga!$D$10,MIN(Carga!$F$10,Carga!$E$10+$C18))</f>
        <v>0.61</v>
      </c>
      <c r="Z18" s="17">
        <f t="shared" si="51"/>
        <v>0</v>
      </c>
      <c r="AA18" s="17">
        <f t="shared" si="6"/>
        <v>0</v>
      </c>
      <c r="AB18" s="17">
        <f t="shared" si="7"/>
        <v>0</v>
      </c>
      <c r="AC18" s="17">
        <f t="shared" si="8"/>
        <v>0</v>
      </c>
      <c r="AE18" s="17">
        <f t="shared" si="9"/>
        <v>0</v>
      </c>
      <c r="AF18" s="17">
        <f t="shared" si="52"/>
        <v>100</v>
      </c>
      <c r="AG18" s="16" t="b">
        <f t="shared" si="10"/>
        <v>0</v>
      </c>
      <c r="AH18" s="17">
        <f t="shared" si="11"/>
        <v>0</v>
      </c>
      <c r="AI18" s="17">
        <f t="shared" si="12"/>
        <v>0</v>
      </c>
      <c r="AJ18" s="17">
        <f t="shared" si="13"/>
        <v>0</v>
      </c>
      <c r="AL18" s="16">
        <f t="shared" si="14"/>
        <v>430</v>
      </c>
      <c r="AN18" s="17">
        <f t="shared" si="15"/>
        <v>1905641.9436967522</v>
      </c>
      <c r="AO18" s="17" t="e">
        <f t="shared" si="16"/>
        <v>#NUM!</v>
      </c>
      <c r="AP18" s="16" t="e">
        <f t="shared" si="17"/>
        <v>#NUM!</v>
      </c>
      <c r="AR18" s="17">
        <f t="shared" si="18"/>
        <v>12314176.056303248</v>
      </c>
      <c r="AS18" s="17" t="e">
        <f t="shared" si="19"/>
        <v>#NUM!</v>
      </c>
      <c r="AT18" s="17" t="e">
        <f t="shared" si="20"/>
        <v>#NUM!</v>
      </c>
      <c r="AV18" s="17">
        <f t="shared" si="21"/>
        <v>0</v>
      </c>
      <c r="AW18" s="17" t="e">
        <f t="shared" si="22"/>
        <v>#NUM!</v>
      </c>
      <c r="AX18" s="17" t="e">
        <f t="shared" si="23"/>
        <v>#NUM!</v>
      </c>
      <c r="AZ18" s="17">
        <f t="shared" si="24"/>
        <v>0</v>
      </c>
      <c r="BA18" s="17" t="e">
        <f t="shared" si="25"/>
        <v>#NUM!</v>
      </c>
      <c r="BB18" s="17" t="e">
        <f t="shared" si="26"/>
        <v>#NUM!</v>
      </c>
      <c r="BD18" s="17">
        <f t="shared" si="27"/>
        <v>1905641.9436967522</v>
      </c>
      <c r="BE18" s="17">
        <f t="shared" si="28"/>
        <v>12314176.056303248</v>
      </c>
      <c r="BF18" s="17">
        <f t="shared" si="29"/>
        <v>0</v>
      </c>
      <c r="BG18" s="17">
        <f t="shared" si="30"/>
        <v>0</v>
      </c>
      <c r="BI18" s="17">
        <f t="shared" si="31"/>
        <v>0</v>
      </c>
      <c r="BJ18" s="17">
        <f t="shared" si="32"/>
        <v>0</v>
      </c>
      <c r="BK18" s="17">
        <f t="shared" ca="1" si="33"/>
        <v>0</v>
      </c>
      <c r="BL18" s="17">
        <f t="shared" si="34"/>
        <v>139496944</v>
      </c>
      <c r="BM18" s="17">
        <f t="shared" si="35"/>
        <v>1905641.9436967522</v>
      </c>
      <c r="BN18" s="17">
        <f t="shared" si="36"/>
        <v>46446505.693095475</v>
      </c>
      <c r="BO18" s="17">
        <f t="shared" si="37"/>
        <v>0</v>
      </c>
      <c r="BP18" s="18">
        <f t="shared" si="38"/>
        <v>1.3660814990303674E-2</v>
      </c>
      <c r="BQ18" s="18">
        <f t="shared" si="39"/>
        <v>0.3466179706187128</v>
      </c>
      <c r="BR18" s="18">
        <f t="shared" si="40"/>
        <v>0.3466179706187128</v>
      </c>
      <c r="BS18" s="18">
        <f t="shared" ref="BS18:BU18" si="78">+(1-BP18)</f>
        <v>0.98633918500969631</v>
      </c>
      <c r="BT18" s="18">
        <f t="shared" si="78"/>
        <v>0.6533820293812872</v>
      </c>
      <c r="BU18" s="18">
        <f t="shared" si="78"/>
        <v>0.6533820293812872</v>
      </c>
      <c r="BV18" s="20">
        <f t="shared" ref="BV18:BX18" si="79">ROUND(1/BP18,2)</f>
        <v>73.2</v>
      </c>
      <c r="BW18" s="20">
        <f t="shared" si="79"/>
        <v>2.89</v>
      </c>
      <c r="BX18" s="20">
        <f t="shared" si="79"/>
        <v>2.89</v>
      </c>
      <c r="BY18" s="15">
        <f t="shared" si="43"/>
        <v>45219</v>
      </c>
    </row>
    <row r="19" spans="2:77">
      <c r="B19" s="151">
        <f>+Carga!K19</f>
        <v>45250</v>
      </c>
      <c r="C19" s="152">
        <f>+'Calculadora VDFA'!$M$6</f>
        <v>0.61</v>
      </c>
      <c r="E19" s="6">
        <f>Carga!L19</f>
        <v>13035523</v>
      </c>
      <c r="F19" s="6">
        <f t="shared" si="44"/>
        <v>0</v>
      </c>
      <c r="G19" s="11">
        <f>+MAX(Carga!$D$8,MIN(Carga!$F$8,Carga!$E$8+$C19))</f>
        <v>0.61</v>
      </c>
      <c r="H19" s="6">
        <f>F19*G19*Carga!P19/360</f>
        <v>0</v>
      </c>
      <c r="I19" s="154">
        <f t="shared" si="45"/>
        <v>-2.5320332497358322E-9</v>
      </c>
      <c r="J19" s="6">
        <f t="shared" si="46"/>
        <v>0</v>
      </c>
      <c r="K19" s="6">
        <f t="shared" si="47"/>
        <v>0</v>
      </c>
      <c r="L19" s="6">
        <f t="shared" si="0"/>
        <v>0</v>
      </c>
      <c r="N19" s="6">
        <f t="shared" si="1"/>
        <v>13035523</v>
      </c>
      <c r="O19" s="6">
        <f t="shared" si="48"/>
        <v>25110000</v>
      </c>
      <c r="P19" s="11">
        <f>+MAX(Carga!$D$9,MIN(Carga!$F$9,Carga!$E$9+$C19))</f>
        <v>0.63</v>
      </c>
      <c r="Q19" s="6">
        <f>+O19*P19*Carga!P19/360</f>
        <v>1318275</v>
      </c>
      <c r="R19" s="6">
        <f t="shared" si="49"/>
        <v>0</v>
      </c>
      <c r="S19" s="6">
        <f t="shared" si="2"/>
        <v>5575574.0563032478</v>
      </c>
      <c r="T19" s="6">
        <f t="shared" si="61"/>
        <v>7459948.9436967522</v>
      </c>
      <c r="U19" s="6">
        <f t="shared" si="4"/>
        <v>13035523</v>
      </c>
      <c r="W19" s="6">
        <f t="shared" si="5"/>
        <v>0</v>
      </c>
      <c r="X19" s="6">
        <f t="shared" si="50"/>
        <v>0</v>
      </c>
      <c r="Y19" s="11">
        <f>+MAX(Carga!$D$10,MIN(Carga!$F$10,Carga!$E$10+$C19))</f>
        <v>0.61</v>
      </c>
      <c r="Z19" s="6">
        <f t="shared" si="51"/>
        <v>0</v>
      </c>
      <c r="AA19" s="6">
        <f t="shared" si="6"/>
        <v>0</v>
      </c>
      <c r="AB19" s="6">
        <f t="shared" si="7"/>
        <v>0</v>
      </c>
      <c r="AC19" s="6">
        <f t="shared" si="8"/>
        <v>0</v>
      </c>
      <c r="AE19" s="6">
        <f t="shared" si="9"/>
        <v>0</v>
      </c>
      <c r="AF19" s="6">
        <f t="shared" si="52"/>
        <v>100</v>
      </c>
      <c r="AG19" s="11" t="b">
        <f t="shared" si="10"/>
        <v>0</v>
      </c>
      <c r="AH19" s="6">
        <f t="shared" si="11"/>
        <v>0</v>
      </c>
      <c r="AI19" s="6">
        <f t="shared" si="12"/>
        <v>0</v>
      </c>
      <c r="AJ19" s="6">
        <f t="shared" si="13"/>
        <v>0</v>
      </c>
      <c r="AL19" s="6">
        <f t="shared" si="14"/>
        <v>461</v>
      </c>
      <c r="AN19" s="6">
        <f t="shared" si="15"/>
        <v>0</v>
      </c>
      <c r="AO19" s="6" t="e">
        <f t="shared" si="16"/>
        <v>#NUM!</v>
      </c>
      <c r="AP19" s="6" t="e">
        <f t="shared" si="17"/>
        <v>#NUM!</v>
      </c>
      <c r="AR19" s="6">
        <f t="shared" si="18"/>
        <v>13035523</v>
      </c>
      <c r="AS19" s="6" t="e">
        <f t="shared" si="19"/>
        <v>#NUM!</v>
      </c>
      <c r="AT19" s="6" t="e">
        <f t="shared" si="20"/>
        <v>#NUM!</v>
      </c>
      <c r="AV19" s="6">
        <f t="shared" si="21"/>
        <v>0</v>
      </c>
      <c r="AW19" s="6" t="e">
        <f t="shared" si="22"/>
        <v>#NUM!</v>
      </c>
      <c r="AX19" s="6" t="e">
        <f t="shared" si="23"/>
        <v>#NUM!</v>
      </c>
      <c r="AZ19" s="6">
        <f t="shared" si="24"/>
        <v>0</v>
      </c>
      <c r="BA19" s="6" t="e">
        <f t="shared" si="25"/>
        <v>#NUM!</v>
      </c>
      <c r="BB19" s="6" t="e">
        <f t="shared" si="26"/>
        <v>#NUM!</v>
      </c>
      <c r="BD19" s="6">
        <f t="shared" si="27"/>
        <v>0</v>
      </c>
      <c r="BE19" s="6">
        <f t="shared" si="28"/>
        <v>13035523</v>
      </c>
      <c r="BF19" s="6">
        <f t="shared" si="29"/>
        <v>0</v>
      </c>
      <c r="BG19" s="6">
        <f t="shared" si="30"/>
        <v>0</v>
      </c>
      <c r="BI19" s="6">
        <f t="shared" si="31"/>
        <v>0</v>
      </c>
      <c r="BJ19" s="6">
        <f t="shared" si="32"/>
        <v>0</v>
      </c>
      <c r="BK19" s="6">
        <f t="shared" ca="1" si="33"/>
        <v>0</v>
      </c>
      <c r="BL19" s="6">
        <f t="shared" si="34"/>
        <v>125277126</v>
      </c>
      <c r="BM19" s="6">
        <f t="shared" si="35"/>
        <v>0</v>
      </c>
      <c r="BN19" s="6">
        <f t="shared" si="36"/>
        <v>34132329.636792228</v>
      </c>
      <c r="BO19" s="6">
        <f t="shared" si="37"/>
        <v>0</v>
      </c>
      <c r="BP19" s="11">
        <f t="shared" si="38"/>
        <v>0</v>
      </c>
      <c r="BQ19" s="11">
        <f t="shared" si="39"/>
        <v>0.27245460305971758</v>
      </c>
      <c r="BR19" s="11">
        <f t="shared" si="40"/>
        <v>0.27245460305971758</v>
      </c>
      <c r="BS19" s="11">
        <f t="shared" ref="BS19:BU19" si="80">+(1-BP19)</f>
        <v>1</v>
      </c>
      <c r="BT19" s="11">
        <f t="shared" si="80"/>
        <v>0.72754539694028242</v>
      </c>
      <c r="BU19" s="11">
        <f t="shared" si="80"/>
        <v>0.72754539694028242</v>
      </c>
      <c r="BV19" s="19" t="e">
        <f t="shared" ref="BV19:BX19" si="81">ROUND(1/BP19,2)</f>
        <v>#DIV/0!</v>
      </c>
      <c r="BW19" s="19">
        <f t="shared" si="81"/>
        <v>3.67</v>
      </c>
      <c r="BX19" s="19">
        <f t="shared" si="81"/>
        <v>3.67</v>
      </c>
      <c r="BY19" s="7">
        <f t="shared" si="43"/>
        <v>45250</v>
      </c>
    </row>
    <row r="20" spans="2:77">
      <c r="B20" s="151">
        <f>+Carga!K20</f>
        <v>45280</v>
      </c>
      <c r="C20" s="153">
        <f>+'Calculadora VDFA'!$M$6</f>
        <v>0.61</v>
      </c>
      <c r="E20" s="17">
        <f>Carga!L20</f>
        <v>10334777</v>
      </c>
      <c r="F20" s="17">
        <f t="shared" si="44"/>
        <v>0</v>
      </c>
      <c r="G20" s="18">
        <f>+MAX(Carga!$D$8,MIN(Carga!$F$8,Carga!$E$8+$C20))</f>
        <v>0.61</v>
      </c>
      <c r="H20" s="17">
        <f>F20*G20*Carga!P20/360</f>
        <v>0</v>
      </c>
      <c r="I20" s="155">
        <f t="shared" si="45"/>
        <v>-2.5320332497358322E-9</v>
      </c>
      <c r="J20" s="17">
        <f t="shared" si="46"/>
        <v>0</v>
      </c>
      <c r="K20" s="17">
        <f t="shared" si="47"/>
        <v>0</v>
      </c>
      <c r="L20" s="17">
        <f t="shared" si="0"/>
        <v>0</v>
      </c>
      <c r="N20" s="17">
        <f t="shared" si="1"/>
        <v>10334777</v>
      </c>
      <c r="O20" s="17">
        <f t="shared" si="48"/>
        <v>19534425.943696752</v>
      </c>
      <c r="P20" s="18">
        <f>+MAX(Carga!$D$9,MIN(Carga!$F$9,Carga!$E$9+$C20))</f>
        <v>0.63</v>
      </c>
      <c r="Q20" s="17">
        <f>+O20*P20*Carga!P20/360</f>
        <v>1025557.3620440796</v>
      </c>
      <c r="R20" s="17">
        <f t="shared" si="49"/>
        <v>0</v>
      </c>
      <c r="S20" s="17">
        <f t="shared" si="2"/>
        <v>9309219.6379559208</v>
      </c>
      <c r="T20" s="17">
        <f t="shared" si="61"/>
        <v>1025557.3620440796</v>
      </c>
      <c r="U20" s="17">
        <f t="shared" si="4"/>
        <v>10334777</v>
      </c>
      <c r="W20" s="17">
        <f t="shared" si="5"/>
        <v>0</v>
      </c>
      <c r="X20" s="17">
        <f t="shared" si="50"/>
        <v>0</v>
      </c>
      <c r="Y20" s="18">
        <f>+MAX(Carga!$D$10,MIN(Carga!$F$10,Carga!$E$10+$C20))</f>
        <v>0.61</v>
      </c>
      <c r="Z20" s="17">
        <f t="shared" si="51"/>
        <v>0</v>
      </c>
      <c r="AA20" s="17">
        <f t="shared" si="6"/>
        <v>0</v>
      </c>
      <c r="AB20" s="17">
        <f t="shared" si="7"/>
        <v>0</v>
      </c>
      <c r="AC20" s="17">
        <f t="shared" si="8"/>
        <v>0</v>
      </c>
      <c r="AE20" s="17">
        <f t="shared" si="9"/>
        <v>0</v>
      </c>
      <c r="AF20" s="17">
        <f t="shared" si="52"/>
        <v>100</v>
      </c>
      <c r="AG20" s="16" t="b">
        <f t="shared" si="10"/>
        <v>0</v>
      </c>
      <c r="AH20" s="17">
        <f t="shared" si="11"/>
        <v>0</v>
      </c>
      <c r="AI20" s="17">
        <f t="shared" si="12"/>
        <v>0</v>
      </c>
      <c r="AJ20" s="17">
        <f t="shared" si="13"/>
        <v>0</v>
      </c>
      <c r="AL20" s="16">
        <f t="shared" si="14"/>
        <v>491</v>
      </c>
      <c r="AN20" s="17">
        <f t="shared" si="15"/>
        <v>0</v>
      </c>
      <c r="AO20" s="17" t="e">
        <f t="shared" si="16"/>
        <v>#NUM!</v>
      </c>
      <c r="AP20" s="16" t="e">
        <f t="shared" si="17"/>
        <v>#NUM!</v>
      </c>
      <c r="AR20" s="17">
        <f t="shared" si="18"/>
        <v>10334777</v>
      </c>
      <c r="AS20" s="17" t="e">
        <f t="shared" si="19"/>
        <v>#NUM!</v>
      </c>
      <c r="AT20" s="17" t="e">
        <f t="shared" si="20"/>
        <v>#NUM!</v>
      </c>
      <c r="AV20" s="17">
        <f t="shared" si="21"/>
        <v>0</v>
      </c>
      <c r="AW20" s="17" t="e">
        <f t="shared" si="22"/>
        <v>#NUM!</v>
      </c>
      <c r="AX20" s="17" t="e">
        <f t="shared" si="23"/>
        <v>#NUM!</v>
      </c>
      <c r="AZ20" s="17">
        <f t="shared" si="24"/>
        <v>0</v>
      </c>
      <c r="BA20" s="17" t="e">
        <f t="shared" si="25"/>
        <v>#NUM!</v>
      </c>
      <c r="BB20" s="17" t="e">
        <f t="shared" si="26"/>
        <v>#NUM!</v>
      </c>
      <c r="BD20" s="17">
        <f t="shared" si="27"/>
        <v>0</v>
      </c>
      <c r="BE20" s="17">
        <f t="shared" si="28"/>
        <v>10334777</v>
      </c>
      <c r="BF20" s="17">
        <f t="shared" si="29"/>
        <v>0</v>
      </c>
      <c r="BG20" s="17">
        <f t="shared" si="30"/>
        <v>0</v>
      </c>
      <c r="BI20" s="17">
        <f t="shared" si="31"/>
        <v>0</v>
      </c>
      <c r="BJ20" s="17">
        <f t="shared" si="32"/>
        <v>0</v>
      </c>
      <c r="BK20" s="17">
        <f t="shared" ca="1" si="33"/>
        <v>0</v>
      </c>
      <c r="BL20" s="17">
        <f t="shared" si="34"/>
        <v>112241603</v>
      </c>
      <c r="BM20" s="17">
        <f t="shared" si="35"/>
        <v>0</v>
      </c>
      <c r="BN20" s="17">
        <f t="shared" si="36"/>
        <v>21096806.636792224</v>
      </c>
      <c r="BO20" s="17">
        <f t="shared" si="37"/>
        <v>0</v>
      </c>
      <c r="BP20" s="18">
        <f t="shared" si="38"/>
        <v>0</v>
      </c>
      <c r="BQ20" s="18">
        <f t="shared" si="39"/>
        <v>0.18795888576887326</v>
      </c>
      <c r="BR20" s="18">
        <f t="shared" si="40"/>
        <v>0.18795888576887326</v>
      </c>
      <c r="BS20" s="18">
        <f t="shared" ref="BS20:BU20" si="82">+(1-BP20)</f>
        <v>1</v>
      </c>
      <c r="BT20" s="18">
        <f t="shared" si="82"/>
        <v>0.81204111423112679</v>
      </c>
      <c r="BU20" s="18">
        <f t="shared" si="82"/>
        <v>0.81204111423112679</v>
      </c>
      <c r="BV20" s="20" t="e">
        <f t="shared" ref="BV20:BX20" si="83">ROUND(1/BP20,2)</f>
        <v>#DIV/0!</v>
      </c>
      <c r="BW20" s="20">
        <f t="shared" si="83"/>
        <v>5.32</v>
      </c>
      <c r="BX20" s="20">
        <f t="shared" si="83"/>
        <v>5.32</v>
      </c>
      <c r="BY20" s="15">
        <f t="shared" si="43"/>
        <v>45280</v>
      </c>
    </row>
    <row r="21" spans="2:77">
      <c r="B21" s="151">
        <f>+Carga!K21</f>
        <v>45313</v>
      </c>
      <c r="C21" s="152">
        <f>+'Calculadora VDFA'!$M$6</f>
        <v>0.61</v>
      </c>
      <c r="E21" s="6">
        <f>Carga!L21</f>
        <v>11644498</v>
      </c>
      <c r="F21" s="6">
        <f t="shared" si="44"/>
        <v>0</v>
      </c>
      <c r="G21" s="11">
        <f>+MAX(Carga!$D$8,MIN(Carga!$F$8,Carga!$E$8+$C21))</f>
        <v>0.61</v>
      </c>
      <c r="H21" s="6">
        <f>F21*G21*Carga!P21/360</f>
        <v>0</v>
      </c>
      <c r="I21" s="154">
        <f t="shared" si="45"/>
        <v>-2.5320332497358322E-9</v>
      </c>
      <c r="J21" s="6">
        <f t="shared" si="46"/>
        <v>0</v>
      </c>
      <c r="K21" s="6">
        <f t="shared" si="47"/>
        <v>0</v>
      </c>
      <c r="L21" s="6">
        <f t="shared" si="0"/>
        <v>0</v>
      </c>
      <c r="N21" s="6">
        <f t="shared" si="1"/>
        <v>11644498</v>
      </c>
      <c r="O21" s="6">
        <f t="shared" si="48"/>
        <v>10225206.305740831</v>
      </c>
      <c r="P21" s="11">
        <f>+MAX(Carga!$D$9,MIN(Carga!$F$9,Carga!$E$9+$C21))</f>
        <v>0.63</v>
      </c>
      <c r="Q21" s="6">
        <f>+O21*P21*Carga!P21/360</f>
        <v>536823.33105139364</v>
      </c>
      <c r="R21" s="6">
        <f t="shared" si="49"/>
        <v>0</v>
      </c>
      <c r="S21" s="6">
        <f t="shared" si="2"/>
        <v>10225206.305740831</v>
      </c>
      <c r="T21" s="6">
        <f t="shared" si="61"/>
        <v>536823.33105139364</v>
      </c>
      <c r="U21" s="6">
        <f t="shared" si="4"/>
        <v>10762029.636792226</v>
      </c>
      <c r="W21" s="6">
        <f t="shared" si="5"/>
        <v>882468.36320777424</v>
      </c>
      <c r="X21" s="6">
        <f t="shared" si="50"/>
        <v>0</v>
      </c>
      <c r="Y21" s="11">
        <f>+MAX(Carga!$D$10,MIN(Carga!$F$10,Carga!$E$10+$C21))</f>
        <v>0.61</v>
      </c>
      <c r="Z21" s="6">
        <f t="shared" si="51"/>
        <v>0</v>
      </c>
      <c r="AA21" s="6">
        <f t="shared" si="6"/>
        <v>0</v>
      </c>
      <c r="AB21" s="6">
        <f t="shared" si="7"/>
        <v>0</v>
      </c>
      <c r="AC21" s="6">
        <f t="shared" si="8"/>
        <v>0</v>
      </c>
      <c r="AE21" s="6">
        <f t="shared" si="9"/>
        <v>882468.36320777424</v>
      </c>
      <c r="AF21" s="6">
        <f t="shared" si="52"/>
        <v>100</v>
      </c>
      <c r="AG21" s="11" t="b">
        <f t="shared" si="10"/>
        <v>0</v>
      </c>
      <c r="AH21" s="6">
        <f t="shared" si="11"/>
        <v>0</v>
      </c>
      <c r="AI21" s="6">
        <f t="shared" si="12"/>
        <v>882468.36320777424</v>
      </c>
      <c r="AJ21" s="6">
        <f t="shared" si="13"/>
        <v>882468.36320777424</v>
      </c>
      <c r="AL21" s="6">
        <f t="shared" si="14"/>
        <v>524</v>
      </c>
      <c r="AN21" s="6">
        <f t="shared" si="15"/>
        <v>0</v>
      </c>
      <c r="AO21" s="6" t="e">
        <f t="shared" si="16"/>
        <v>#NUM!</v>
      </c>
      <c r="AP21" s="6" t="e">
        <f t="shared" si="17"/>
        <v>#NUM!</v>
      </c>
      <c r="AR21" s="6">
        <f t="shared" si="18"/>
        <v>10762029.636792226</v>
      </c>
      <c r="AS21" s="6" t="e">
        <f t="shared" si="19"/>
        <v>#NUM!</v>
      </c>
      <c r="AT21" s="6" t="e">
        <f t="shared" si="20"/>
        <v>#NUM!</v>
      </c>
      <c r="AV21" s="6">
        <f t="shared" si="21"/>
        <v>0</v>
      </c>
      <c r="AW21" s="6" t="e">
        <f t="shared" si="22"/>
        <v>#NUM!</v>
      </c>
      <c r="AX21" s="6" t="e">
        <f t="shared" si="23"/>
        <v>#NUM!</v>
      </c>
      <c r="AZ21" s="6">
        <f t="shared" si="24"/>
        <v>882468.36320777424</v>
      </c>
      <c r="BA21" s="6" t="e">
        <f t="shared" si="25"/>
        <v>#NUM!</v>
      </c>
      <c r="BB21" s="6" t="e">
        <f t="shared" si="26"/>
        <v>#NUM!</v>
      </c>
      <c r="BD21" s="6">
        <f t="shared" si="27"/>
        <v>0</v>
      </c>
      <c r="BE21" s="6">
        <f t="shared" si="28"/>
        <v>10762029.636792226</v>
      </c>
      <c r="BF21" s="6">
        <f t="shared" si="29"/>
        <v>0</v>
      </c>
      <c r="BG21" s="6">
        <f t="shared" si="30"/>
        <v>882468.36320777424</v>
      </c>
      <c r="BI21" s="6">
        <f t="shared" si="31"/>
        <v>0</v>
      </c>
      <c r="BJ21" s="6">
        <f t="shared" si="32"/>
        <v>0</v>
      </c>
      <c r="BK21" s="6">
        <f t="shared" ca="1" si="33"/>
        <v>0</v>
      </c>
      <c r="BL21" s="6">
        <f t="shared" si="34"/>
        <v>101906826</v>
      </c>
      <c r="BM21" s="6">
        <f t="shared" si="35"/>
        <v>0</v>
      </c>
      <c r="BN21" s="6">
        <f t="shared" si="36"/>
        <v>10762029.636792226</v>
      </c>
      <c r="BO21" s="6">
        <f t="shared" si="37"/>
        <v>0</v>
      </c>
      <c r="BP21" s="11">
        <f t="shared" si="38"/>
        <v>0</v>
      </c>
      <c r="BQ21" s="11">
        <f t="shared" si="39"/>
        <v>0.10560656296755062</v>
      </c>
      <c r="BR21" s="11">
        <f t="shared" si="40"/>
        <v>0.10560656296755062</v>
      </c>
      <c r="BS21" s="11">
        <f t="shared" ref="BS21:BU21" si="84">+(1-BP21)</f>
        <v>1</v>
      </c>
      <c r="BT21" s="11">
        <f t="shared" si="84"/>
        <v>0.89439343703244933</v>
      </c>
      <c r="BU21" s="11">
        <f t="shared" si="84"/>
        <v>0.89439343703244933</v>
      </c>
      <c r="BV21" s="19" t="e">
        <f t="shared" ref="BV21:BX21" si="85">ROUND(1/BP21,2)</f>
        <v>#DIV/0!</v>
      </c>
      <c r="BW21" s="19">
        <f t="shared" si="85"/>
        <v>9.4700000000000006</v>
      </c>
      <c r="BX21" s="19">
        <f t="shared" si="85"/>
        <v>9.4700000000000006</v>
      </c>
      <c r="BY21" s="7">
        <f t="shared" si="43"/>
        <v>45313</v>
      </c>
    </row>
    <row r="22" spans="2:77">
      <c r="B22" s="151">
        <f>+Carga!K22</f>
        <v>45342</v>
      </c>
      <c r="C22" s="153">
        <f>+'Calculadora VDFA'!$M$6</f>
        <v>0.61</v>
      </c>
      <c r="E22" s="17">
        <f>Carga!L22</f>
        <v>10943958</v>
      </c>
      <c r="F22" s="17">
        <f t="shared" si="44"/>
        <v>0</v>
      </c>
      <c r="G22" s="18">
        <f>+MAX(Carga!$D$8,MIN(Carga!$F$8,Carga!$E$8+$C22))</f>
        <v>0.61</v>
      </c>
      <c r="H22" s="17">
        <f>F22*G22*Carga!P22/360</f>
        <v>0</v>
      </c>
      <c r="I22" s="155">
        <f t="shared" si="45"/>
        <v>-2.5320332497358322E-9</v>
      </c>
      <c r="J22" s="17">
        <f t="shared" si="46"/>
        <v>0</v>
      </c>
      <c r="K22" s="17">
        <f t="shared" si="47"/>
        <v>0</v>
      </c>
      <c r="L22" s="17">
        <f t="shared" si="0"/>
        <v>0</v>
      </c>
      <c r="N22" s="17">
        <f t="shared" si="1"/>
        <v>10943958</v>
      </c>
      <c r="O22" s="17">
        <f t="shared" si="48"/>
        <v>0</v>
      </c>
      <c r="P22" s="18">
        <f>+MAX(Carga!$D$9,MIN(Carga!$F$9,Carga!$E$9+$C22))</f>
        <v>0.63</v>
      </c>
      <c r="Q22" s="17">
        <f>+O22*P22*Carga!P22/360</f>
        <v>0</v>
      </c>
      <c r="R22" s="17">
        <f t="shared" si="49"/>
        <v>0</v>
      </c>
      <c r="S22" s="17">
        <f t="shared" si="2"/>
        <v>0</v>
      </c>
      <c r="T22" s="17">
        <f t="shared" si="61"/>
        <v>0</v>
      </c>
      <c r="U22" s="17">
        <f t="shared" si="4"/>
        <v>0</v>
      </c>
      <c r="W22" s="17">
        <f t="shared" si="5"/>
        <v>10943958</v>
      </c>
      <c r="X22" s="17">
        <f t="shared" si="50"/>
        <v>0</v>
      </c>
      <c r="Y22" s="18">
        <f>+MAX(Carga!$D$10,MIN(Carga!$F$10,Carga!$E$10+$C22))</f>
        <v>0.61</v>
      </c>
      <c r="Z22" s="17">
        <f t="shared" si="51"/>
        <v>0</v>
      </c>
      <c r="AA22" s="17">
        <f t="shared" si="6"/>
        <v>0</v>
      </c>
      <c r="AB22" s="17">
        <f t="shared" si="7"/>
        <v>0</v>
      </c>
      <c r="AC22" s="17">
        <f t="shared" si="8"/>
        <v>0</v>
      </c>
      <c r="AE22" s="17">
        <f t="shared" si="9"/>
        <v>10943958</v>
      </c>
      <c r="AF22" s="17">
        <f t="shared" si="52"/>
        <v>100</v>
      </c>
      <c r="AG22" s="16" t="b">
        <f t="shared" si="10"/>
        <v>0</v>
      </c>
      <c r="AH22" s="17">
        <f t="shared" si="11"/>
        <v>0</v>
      </c>
      <c r="AI22" s="17">
        <f t="shared" si="12"/>
        <v>10943958</v>
      </c>
      <c r="AJ22" s="17">
        <f t="shared" si="13"/>
        <v>10943958</v>
      </c>
      <c r="AL22" s="16">
        <f t="shared" si="14"/>
        <v>553</v>
      </c>
      <c r="AN22" s="17">
        <f t="shared" si="15"/>
        <v>0</v>
      </c>
      <c r="AO22" s="17" t="e">
        <f t="shared" si="16"/>
        <v>#NUM!</v>
      </c>
      <c r="AP22" s="16" t="e">
        <f t="shared" si="17"/>
        <v>#NUM!</v>
      </c>
      <c r="AR22" s="17">
        <f t="shared" si="18"/>
        <v>0</v>
      </c>
      <c r="AS22" s="17" t="e">
        <f t="shared" si="19"/>
        <v>#NUM!</v>
      </c>
      <c r="AT22" s="17" t="e">
        <f t="shared" si="20"/>
        <v>#NUM!</v>
      </c>
      <c r="AV22" s="17">
        <f t="shared" si="21"/>
        <v>0</v>
      </c>
      <c r="AW22" s="17" t="e">
        <f t="shared" si="22"/>
        <v>#NUM!</v>
      </c>
      <c r="AX22" s="17" t="e">
        <f t="shared" si="23"/>
        <v>#NUM!</v>
      </c>
      <c r="AZ22" s="17">
        <f t="shared" si="24"/>
        <v>10943958</v>
      </c>
      <c r="BA22" s="17" t="e">
        <f t="shared" si="25"/>
        <v>#NUM!</v>
      </c>
      <c r="BB22" s="17" t="e">
        <f t="shared" si="26"/>
        <v>#NUM!</v>
      </c>
      <c r="BD22" s="17">
        <f t="shared" si="27"/>
        <v>0</v>
      </c>
      <c r="BE22" s="17">
        <f t="shared" si="28"/>
        <v>0</v>
      </c>
      <c r="BF22" s="17">
        <f t="shared" si="29"/>
        <v>0</v>
      </c>
      <c r="BG22" s="17">
        <f t="shared" si="30"/>
        <v>10943958</v>
      </c>
      <c r="BI22" s="17" t="e">
        <f t="shared" si="31"/>
        <v>#DIV/0!</v>
      </c>
      <c r="BJ22" s="17" t="e">
        <f t="shared" si="32"/>
        <v>#DIV/0!</v>
      </c>
      <c r="BK22" s="17">
        <f t="shared" ca="1" si="33"/>
        <v>0</v>
      </c>
      <c r="BL22" s="17">
        <f t="shared" si="34"/>
        <v>90262328</v>
      </c>
      <c r="BM22" s="17">
        <f t="shared" si="35"/>
        <v>0</v>
      </c>
      <c r="BN22" s="17">
        <f t="shared" si="36"/>
        <v>0</v>
      </c>
      <c r="BO22" s="17">
        <f t="shared" si="37"/>
        <v>0</v>
      </c>
      <c r="BP22" s="18">
        <f t="shared" si="38"/>
        <v>0</v>
      </c>
      <c r="BQ22" s="18">
        <f t="shared" si="39"/>
        <v>0</v>
      </c>
      <c r="BR22" s="18">
        <f t="shared" si="40"/>
        <v>0</v>
      </c>
      <c r="BS22" s="18">
        <f t="shared" ref="BS22:BU22" si="86">+(1-BP22)</f>
        <v>1</v>
      </c>
      <c r="BT22" s="18">
        <f t="shared" si="86"/>
        <v>1</v>
      </c>
      <c r="BU22" s="18">
        <f t="shared" si="86"/>
        <v>1</v>
      </c>
      <c r="BV22" s="20" t="e">
        <f t="shared" ref="BV22:BX22" si="87">ROUND(1/BP22,2)</f>
        <v>#DIV/0!</v>
      </c>
      <c r="BW22" s="20" t="e">
        <f t="shared" si="87"/>
        <v>#DIV/0!</v>
      </c>
      <c r="BX22" s="20" t="e">
        <f t="shared" si="87"/>
        <v>#DIV/0!</v>
      </c>
      <c r="BY22" s="15">
        <f t="shared" si="43"/>
        <v>45342</v>
      </c>
    </row>
    <row r="23" spans="2:77">
      <c r="B23" s="151">
        <f>+Carga!K23</f>
        <v>45371</v>
      </c>
      <c r="C23" s="152">
        <f>+'Calculadora VDFA'!$M$6</f>
        <v>0.61</v>
      </c>
      <c r="E23" s="6">
        <f>Carga!L23</f>
        <v>9663022</v>
      </c>
      <c r="F23" s="6">
        <f t="shared" si="44"/>
        <v>0</v>
      </c>
      <c r="G23" s="11">
        <f>+MAX(Carga!$D$8,MIN(Carga!$F$8,Carga!$E$8+$C23))</f>
        <v>0.61</v>
      </c>
      <c r="H23" s="6">
        <f>F23*G23*Carga!P23/360</f>
        <v>0</v>
      </c>
      <c r="I23" s="154">
        <f t="shared" si="45"/>
        <v>-2.5320332497358322E-9</v>
      </c>
      <c r="J23" s="6">
        <f t="shared" si="46"/>
        <v>0</v>
      </c>
      <c r="K23" s="6">
        <f t="shared" si="47"/>
        <v>0</v>
      </c>
      <c r="L23" s="6">
        <f t="shared" si="0"/>
        <v>0</v>
      </c>
      <c r="N23" s="6">
        <f t="shared" si="1"/>
        <v>9663022</v>
      </c>
      <c r="O23" s="6">
        <f t="shared" si="48"/>
        <v>0</v>
      </c>
      <c r="P23" s="11">
        <f>+MAX(Carga!$D$9,MIN(Carga!$F$9,Carga!$E$9+$C23))</f>
        <v>0.63</v>
      </c>
      <c r="Q23" s="6">
        <f>+O23*P23*Carga!P23/360</f>
        <v>0</v>
      </c>
      <c r="R23" s="6">
        <f t="shared" si="49"/>
        <v>0</v>
      </c>
      <c r="S23" s="6">
        <f t="shared" si="2"/>
        <v>0</v>
      </c>
      <c r="T23" s="6">
        <f t="shared" si="61"/>
        <v>0</v>
      </c>
      <c r="U23" s="6">
        <f t="shared" si="4"/>
        <v>0</v>
      </c>
      <c r="W23" s="6">
        <f t="shared" si="5"/>
        <v>9663022</v>
      </c>
      <c r="X23" s="6">
        <f t="shared" si="50"/>
        <v>0</v>
      </c>
      <c r="Y23" s="11">
        <f>+MAX(Carga!$D$10,MIN(Carga!$F$10,Carga!$E$10+$C23))</f>
        <v>0.61</v>
      </c>
      <c r="Z23" s="6">
        <f t="shared" si="51"/>
        <v>0</v>
      </c>
      <c r="AA23" s="6">
        <f t="shared" si="6"/>
        <v>0</v>
      </c>
      <c r="AB23" s="6">
        <f t="shared" si="7"/>
        <v>0</v>
      </c>
      <c r="AC23" s="6">
        <f t="shared" si="8"/>
        <v>0</v>
      </c>
      <c r="AE23" s="6">
        <f t="shared" si="9"/>
        <v>9663022</v>
      </c>
      <c r="AF23" s="6">
        <f t="shared" si="52"/>
        <v>100</v>
      </c>
      <c r="AG23" s="11" t="b">
        <f t="shared" si="10"/>
        <v>0</v>
      </c>
      <c r="AH23" s="6">
        <f t="shared" si="11"/>
        <v>0</v>
      </c>
      <c r="AI23" s="6">
        <f t="shared" si="12"/>
        <v>9663022</v>
      </c>
      <c r="AJ23" s="6">
        <f t="shared" si="13"/>
        <v>9663022</v>
      </c>
      <c r="AL23" s="6">
        <f t="shared" si="14"/>
        <v>582</v>
      </c>
      <c r="AN23" s="6">
        <f t="shared" si="15"/>
        <v>0</v>
      </c>
      <c r="AO23" s="6" t="e">
        <f t="shared" si="16"/>
        <v>#NUM!</v>
      </c>
      <c r="AP23" s="6" t="e">
        <f t="shared" si="17"/>
        <v>#NUM!</v>
      </c>
      <c r="AR23" s="6">
        <f t="shared" si="18"/>
        <v>0</v>
      </c>
      <c r="AS23" s="6" t="e">
        <f t="shared" si="19"/>
        <v>#NUM!</v>
      </c>
      <c r="AT23" s="6" t="e">
        <f t="shared" si="20"/>
        <v>#NUM!</v>
      </c>
      <c r="AV23" s="6">
        <f t="shared" si="21"/>
        <v>0</v>
      </c>
      <c r="AW23" s="6" t="e">
        <f t="shared" si="22"/>
        <v>#NUM!</v>
      </c>
      <c r="AX23" s="6" t="e">
        <f t="shared" si="23"/>
        <v>#NUM!</v>
      </c>
      <c r="AZ23" s="6">
        <f t="shared" si="24"/>
        <v>9663022</v>
      </c>
      <c r="BA23" s="6" t="e">
        <f t="shared" si="25"/>
        <v>#NUM!</v>
      </c>
      <c r="BB23" s="6" t="e">
        <f t="shared" si="26"/>
        <v>#NUM!</v>
      </c>
      <c r="BD23" s="6">
        <f t="shared" si="27"/>
        <v>0</v>
      </c>
      <c r="BE23" s="6">
        <f t="shared" si="28"/>
        <v>0</v>
      </c>
      <c r="BF23" s="6">
        <f t="shared" si="29"/>
        <v>0</v>
      </c>
      <c r="BG23" s="6">
        <f t="shared" si="30"/>
        <v>9663022</v>
      </c>
      <c r="BI23" s="6" t="e">
        <f t="shared" si="31"/>
        <v>#DIV/0!</v>
      </c>
      <c r="BJ23" s="6" t="e">
        <f t="shared" si="32"/>
        <v>#DIV/0!</v>
      </c>
      <c r="BK23" s="6">
        <f t="shared" ca="1" si="33"/>
        <v>0</v>
      </c>
      <c r="BL23" s="6">
        <f t="shared" si="34"/>
        <v>79318370</v>
      </c>
      <c r="BM23" s="6">
        <f t="shared" si="35"/>
        <v>0</v>
      </c>
      <c r="BN23" s="6">
        <f t="shared" si="36"/>
        <v>0</v>
      </c>
      <c r="BO23" s="6">
        <f t="shared" si="37"/>
        <v>0</v>
      </c>
      <c r="BP23" s="11">
        <f t="shared" si="38"/>
        <v>0</v>
      </c>
      <c r="BQ23" s="11">
        <f t="shared" si="39"/>
        <v>0</v>
      </c>
      <c r="BR23" s="11">
        <f t="shared" si="40"/>
        <v>0</v>
      </c>
      <c r="BS23" s="11">
        <f t="shared" ref="BS23:BU23" si="88">+(1-BP23)</f>
        <v>1</v>
      </c>
      <c r="BT23" s="11">
        <f t="shared" si="88"/>
        <v>1</v>
      </c>
      <c r="BU23" s="11">
        <f t="shared" si="88"/>
        <v>1</v>
      </c>
      <c r="BV23" s="19" t="e">
        <f t="shared" ref="BV23:BX23" si="89">ROUND(1/BP23,2)</f>
        <v>#DIV/0!</v>
      </c>
      <c r="BW23" s="19" t="e">
        <f t="shared" si="89"/>
        <v>#DIV/0!</v>
      </c>
      <c r="BX23" s="19" t="e">
        <f t="shared" si="89"/>
        <v>#DIV/0!</v>
      </c>
      <c r="BY23" s="7">
        <f t="shared" si="43"/>
        <v>45371</v>
      </c>
    </row>
    <row r="24" spans="2:77">
      <c r="B24" s="151">
        <f>+Carga!K24</f>
        <v>45404</v>
      </c>
      <c r="C24" s="153">
        <f>+'Calculadora VDFA'!$M$6</f>
        <v>0.61</v>
      </c>
      <c r="E24" s="17">
        <f>Carga!L24</f>
        <v>8266908</v>
      </c>
      <c r="F24" s="17">
        <f t="shared" si="44"/>
        <v>0</v>
      </c>
      <c r="G24" s="18">
        <f>+MAX(Carga!$D$8,MIN(Carga!$F$8,Carga!$E$8+$C24))</f>
        <v>0.61</v>
      </c>
      <c r="H24" s="17">
        <f>F24*G24*Carga!P24/360</f>
        <v>0</v>
      </c>
      <c r="I24" s="155">
        <f t="shared" si="45"/>
        <v>-2.5320332497358322E-9</v>
      </c>
      <c r="J24" s="17">
        <f t="shared" si="46"/>
        <v>0</v>
      </c>
      <c r="K24" s="17">
        <f t="shared" si="47"/>
        <v>0</v>
      </c>
      <c r="L24" s="17">
        <f t="shared" si="0"/>
        <v>0</v>
      </c>
      <c r="N24" s="17">
        <f t="shared" si="1"/>
        <v>8266908</v>
      </c>
      <c r="O24" s="17">
        <f t="shared" si="48"/>
        <v>0</v>
      </c>
      <c r="P24" s="18">
        <f>+MAX(Carga!$D$9,MIN(Carga!$F$9,Carga!$E$9+$C24))</f>
        <v>0.63</v>
      </c>
      <c r="Q24" s="17">
        <f>+O24*P24*Carga!P24/360</f>
        <v>0</v>
      </c>
      <c r="R24" s="17">
        <f t="shared" si="49"/>
        <v>0</v>
      </c>
      <c r="S24" s="17">
        <f t="shared" si="2"/>
        <v>0</v>
      </c>
      <c r="T24" s="17">
        <f t="shared" si="61"/>
        <v>0</v>
      </c>
      <c r="U24" s="17">
        <f t="shared" si="4"/>
        <v>0</v>
      </c>
      <c r="W24" s="17">
        <f t="shared" si="5"/>
        <v>8266908</v>
      </c>
      <c r="X24" s="17">
        <f t="shared" si="50"/>
        <v>0</v>
      </c>
      <c r="Y24" s="18">
        <f>+MAX(Carga!$D$10,MIN(Carga!$F$10,Carga!$E$10+$C24))</f>
        <v>0.61</v>
      </c>
      <c r="Z24" s="17">
        <f t="shared" si="51"/>
        <v>0</v>
      </c>
      <c r="AA24" s="17">
        <f t="shared" si="6"/>
        <v>0</v>
      </c>
      <c r="AB24" s="17">
        <f t="shared" si="7"/>
        <v>0</v>
      </c>
      <c r="AC24" s="17">
        <f t="shared" si="8"/>
        <v>0</v>
      </c>
      <c r="AE24" s="17">
        <f t="shared" si="9"/>
        <v>8266908</v>
      </c>
      <c r="AF24" s="17">
        <f t="shared" si="52"/>
        <v>100</v>
      </c>
      <c r="AG24" s="16" t="b">
        <f t="shared" si="10"/>
        <v>0</v>
      </c>
      <c r="AH24" s="17">
        <f t="shared" si="11"/>
        <v>0</v>
      </c>
      <c r="AI24" s="17">
        <f t="shared" si="12"/>
        <v>8266908</v>
      </c>
      <c r="AJ24" s="17">
        <f t="shared" si="13"/>
        <v>8266908</v>
      </c>
      <c r="AL24" s="16">
        <f t="shared" si="14"/>
        <v>615</v>
      </c>
      <c r="AN24" s="17">
        <f t="shared" si="15"/>
        <v>0</v>
      </c>
      <c r="AO24" s="17" t="e">
        <f t="shared" si="16"/>
        <v>#NUM!</v>
      </c>
      <c r="AP24" s="16" t="e">
        <f t="shared" si="17"/>
        <v>#NUM!</v>
      </c>
      <c r="AR24" s="17">
        <f t="shared" si="18"/>
        <v>0</v>
      </c>
      <c r="AS24" s="17" t="e">
        <f t="shared" si="19"/>
        <v>#NUM!</v>
      </c>
      <c r="AT24" s="17" t="e">
        <f t="shared" si="20"/>
        <v>#NUM!</v>
      </c>
      <c r="AV24" s="17">
        <f t="shared" si="21"/>
        <v>0</v>
      </c>
      <c r="AW24" s="17" t="e">
        <f t="shared" si="22"/>
        <v>#NUM!</v>
      </c>
      <c r="AX24" s="17" t="e">
        <f t="shared" si="23"/>
        <v>#NUM!</v>
      </c>
      <c r="AZ24" s="17">
        <f t="shared" si="24"/>
        <v>8266908</v>
      </c>
      <c r="BA24" s="17" t="e">
        <f t="shared" si="25"/>
        <v>#NUM!</v>
      </c>
      <c r="BB24" s="17" t="e">
        <f t="shared" si="26"/>
        <v>#NUM!</v>
      </c>
      <c r="BD24" s="17">
        <f t="shared" si="27"/>
        <v>0</v>
      </c>
      <c r="BE24" s="17">
        <f t="shared" si="28"/>
        <v>0</v>
      </c>
      <c r="BF24" s="17">
        <f t="shared" si="29"/>
        <v>0</v>
      </c>
      <c r="BG24" s="17">
        <f t="shared" si="30"/>
        <v>8266908</v>
      </c>
      <c r="BI24" s="17" t="e">
        <f t="shared" si="31"/>
        <v>#DIV/0!</v>
      </c>
      <c r="BJ24" s="17" t="e">
        <f t="shared" si="32"/>
        <v>#DIV/0!</v>
      </c>
      <c r="BK24" s="17">
        <f t="shared" ca="1" si="33"/>
        <v>0</v>
      </c>
      <c r="BL24" s="17">
        <f t="shared" si="34"/>
        <v>69655348</v>
      </c>
      <c r="BM24" s="17">
        <f t="shared" si="35"/>
        <v>0</v>
      </c>
      <c r="BN24" s="17">
        <f t="shared" si="36"/>
        <v>0</v>
      </c>
      <c r="BO24" s="17">
        <f t="shared" si="37"/>
        <v>0</v>
      </c>
      <c r="BP24" s="18">
        <f t="shared" si="38"/>
        <v>0</v>
      </c>
      <c r="BQ24" s="18">
        <f t="shared" si="39"/>
        <v>0</v>
      </c>
      <c r="BR24" s="18">
        <f t="shared" si="40"/>
        <v>0</v>
      </c>
      <c r="BS24" s="18">
        <f t="shared" ref="BS24:BU24" si="90">+(1-BP24)</f>
        <v>1</v>
      </c>
      <c r="BT24" s="18">
        <f t="shared" si="90"/>
        <v>1</v>
      </c>
      <c r="BU24" s="18">
        <f t="shared" si="90"/>
        <v>1</v>
      </c>
      <c r="BV24" s="20" t="e">
        <f t="shared" ref="BV24:BX24" si="91">ROUND(1/BP24,2)</f>
        <v>#DIV/0!</v>
      </c>
      <c r="BW24" s="20" t="e">
        <f t="shared" si="91"/>
        <v>#DIV/0!</v>
      </c>
      <c r="BX24" s="20" t="e">
        <f t="shared" si="91"/>
        <v>#DIV/0!</v>
      </c>
      <c r="BY24" s="15">
        <f t="shared" si="43"/>
        <v>45404</v>
      </c>
    </row>
    <row r="25" spans="2:77">
      <c r="B25" s="151">
        <f>+Carga!K25</f>
        <v>45432</v>
      </c>
      <c r="C25" s="152">
        <f>+'Calculadora VDFA'!$M$6</f>
        <v>0.61</v>
      </c>
      <c r="E25" s="6">
        <f>Carga!L25</f>
        <v>6935193</v>
      </c>
      <c r="F25" s="6">
        <f t="shared" si="44"/>
        <v>0</v>
      </c>
      <c r="G25" s="11">
        <f>+MAX(Carga!$D$8,MIN(Carga!$F$8,Carga!$E$8+$C25))</f>
        <v>0.61</v>
      </c>
      <c r="H25" s="6">
        <f>F25*G25*Carga!P25/360</f>
        <v>0</v>
      </c>
      <c r="I25" s="154">
        <f t="shared" si="45"/>
        <v>-2.5320332497358322E-9</v>
      </c>
      <c r="J25" s="6">
        <f t="shared" si="46"/>
        <v>0</v>
      </c>
      <c r="K25" s="6">
        <f t="shared" si="47"/>
        <v>0</v>
      </c>
      <c r="L25" s="6">
        <f t="shared" si="0"/>
        <v>0</v>
      </c>
      <c r="N25" s="6">
        <f t="shared" si="1"/>
        <v>6935193</v>
      </c>
      <c r="O25" s="6">
        <f t="shared" si="48"/>
        <v>0</v>
      </c>
      <c r="P25" s="11">
        <f>+MAX(Carga!$D$9,MIN(Carga!$F$9,Carga!$E$9+$C25))</f>
        <v>0.63</v>
      </c>
      <c r="Q25" s="6">
        <f>+O25*P25*Carga!P25/360</f>
        <v>0</v>
      </c>
      <c r="R25" s="6">
        <f t="shared" si="49"/>
        <v>0</v>
      </c>
      <c r="S25" s="6">
        <f t="shared" si="2"/>
        <v>0</v>
      </c>
      <c r="T25" s="6">
        <f t="shared" si="61"/>
        <v>0</v>
      </c>
      <c r="U25" s="6">
        <f t="shared" si="4"/>
        <v>0</v>
      </c>
      <c r="W25" s="6">
        <f t="shared" si="5"/>
        <v>6935193</v>
      </c>
      <c r="X25" s="6">
        <f t="shared" si="50"/>
        <v>0</v>
      </c>
      <c r="Y25" s="11">
        <f>+MAX(Carga!$D$10,MIN(Carga!$F$10,Carga!$E$10+$C25))</f>
        <v>0.61</v>
      </c>
      <c r="Z25" s="6">
        <f t="shared" si="51"/>
        <v>0</v>
      </c>
      <c r="AA25" s="6">
        <f t="shared" si="6"/>
        <v>0</v>
      </c>
      <c r="AB25" s="6">
        <f t="shared" si="7"/>
        <v>0</v>
      </c>
      <c r="AC25" s="6">
        <f t="shared" si="8"/>
        <v>0</v>
      </c>
      <c r="AE25" s="6">
        <f t="shared" si="9"/>
        <v>6935193</v>
      </c>
      <c r="AF25" s="6">
        <f t="shared" si="52"/>
        <v>100</v>
      </c>
      <c r="AG25" s="11" t="b">
        <f t="shared" si="10"/>
        <v>0</v>
      </c>
      <c r="AH25" s="6">
        <f t="shared" si="11"/>
        <v>0</v>
      </c>
      <c r="AI25" s="6">
        <f t="shared" si="12"/>
        <v>6935193</v>
      </c>
      <c r="AJ25" s="6">
        <f t="shared" si="13"/>
        <v>6935193</v>
      </c>
      <c r="AL25" s="6">
        <f t="shared" si="14"/>
        <v>643</v>
      </c>
      <c r="AN25" s="6">
        <f t="shared" si="15"/>
        <v>0</v>
      </c>
      <c r="AO25" s="6" t="e">
        <f t="shared" si="16"/>
        <v>#NUM!</v>
      </c>
      <c r="AP25" s="6" t="e">
        <f t="shared" si="17"/>
        <v>#NUM!</v>
      </c>
      <c r="AR25" s="6">
        <f t="shared" si="18"/>
        <v>0</v>
      </c>
      <c r="AS25" s="6" t="e">
        <f t="shared" si="19"/>
        <v>#NUM!</v>
      </c>
      <c r="AT25" s="6" t="e">
        <f t="shared" si="20"/>
        <v>#NUM!</v>
      </c>
      <c r="AV25" s="6">
        <f t="shared" si="21"/>
        <v>0</v>
      </c>
      <c r="AW25" s="6" t="e">
        <f t="shared" si="22"/>
        <v>#NUM!</v>
      </c>
      <c r="AX25" s="6" t="e">
        <f t="shared" si="23"/>
        <v>#NUM!</v>
      </c>
      <c r="AZ25" s="6">
        <f t="shared" si="24"/>
        <v>6935193</v>
      </c>
      <c r="BA25" s="6" t="e">
        <f t="shared" si="25"/>
        <v>#NUM!</v>
      </c>
      <c r="BB25" s="6" t="e">
        <f t="shared" si="26"/>
        <v>#NUM!</v>
      </c>
      <c r="BD25" s="6">
        <f t="shared" si="27"/>
        <v>0</v>
      </c>
      <c r="BE25" s="6">
        <f t="shared" si="28"/>
        <v>0</v>
      </c>
      <c r="BF25" s="6">
        <f t="shared" si="29"/>
        <v>0</v>
      </c>
      <c r="BG25" s="6">
        <f t="shared" si="30"/>
        <v>6935193</v>
      </c>
      <c r="BI25" s="6" t="e">
        <f t="shared" si="31"/>
        <v>#DIV/0!</v>
      </c>
      <c r="BJ25" s="6" t="e">
        <f t="shared" si="32"/>
        <v>#DIV/0!</v>
      </c>
      <c r="BK25" s="6">
        <f t="shared" ca="1" si="33"/>
        <v>0</v>
      </c>
      <c r="BL25" s="6">
        <f t="shared" si="34"/>
        <v>61388440</v>
      </c>
      <c r="BM25" s="6">
        <f t="shared" si="35"/>
        <v>0</v>
      </c>
      <c r="BN25" s="6">
        <f t="shared" si="36"/>
        <v>0</v>
      </c>
      <c r="BO25" s="6">
        <f t="shared" si="37"/>
        <v>0</v>
      </c>
      <c r="BP25" s="11">
        <f t="shared" si="38"/>
        <v>0</v>
      </c>
      <c r="BQ25" s="11">
        <f t="shared" si="39"/>
        <v>0</v>
      </c>
      <c r="BR25" s="11">
        <f t="shared" si="40"/>
        <v>0</v>
      </c>
      <c r="BS25" s="11">
        <f t="shared" ref="BS25:BU25" si="92">+(1-BP25)</f>
        <v>1</v>
      </c>
      <c r="BT25" s="11">
        <f t="shared" si="92"/>
        <v>1</v>
      </c>
      <c r="BU25" s="11">
        <f t="shared" si="92"/>
        <v>1</v>
      </c>
      <c r="BV25" s="19" t="e">
        <f t="shared" ref="BV25:BX25" si="93">ROUND(1/BP25,2)</f>
        <v>#DIV/0!</v>
      </c>
      <c r="BW25" s="19" t="e">
        <f t="shared" si="93"/>
        <v>#DIV/0!</v>
      </c>
      <c r="BX25" s="19" t="e">
        <f t="shared" si="93"/>
        <v>#DIV/0!</v>
      </c>
      <c r="BY25" s="7">
        <f t="shared" si="43"/>
        <v>45432</v>
      </c>
    </row>
    <row r="26" spans="2:77">
      <c r="B26" s="151">
        <f>+Carga!K26</f>
        <v>45464</v>
      </c>
      <c r="C26" s="153">
        <f>+'Calculadora VDFA'!$M$6</f>
        <v>0.61</v>
      </c>
      <c r="E26" s="17">
        <f>Carga!L26</f>
        <v>6578975</v>
      </c>
      <c r="F26" s="17">
        <f t="shared" si="44"/>
        <v>0</v>
      </c>
      <c r="G26" s="18">
        <f>+MAX(Carga!$D$8,MIN(Carga!$F$8,Carga!$E$8+$C26))</f>
        <v>0.61</v>
      </c>
      <c r="H26" s="17">
        <f>F26*G26*Carga!P26/360</f>
        <v>0</v>
      </c>
      <c r="I26" s="155">
        <f t="shared" si="45"/>
        <v>-2.5320332497358322E-9</v>
      </c>
      <c r="J26" s="17">
        <f t="shared" si="46"/>
        <v>0</v>
      </c>
      <c r="K26" s="17">
        <f t="shared" si="47"/>
        <v>0</v>
      </c>
      <c r="L26" s="17">
        <f t="shared" si="0"/>
        <v>0</v>
      </c>
      <c r="N26" s="17">
        <f t="shared" si="1"/>
        <v>6578975</v>
      </c>
      <c r="O26" s="17">
        <f t="shared" si="48"/>
        <v>0</v>
      </c>
      <c r="P26" s="18">
        <f>+MAX(Carga!$D$9,MIN(Carga!$F$9,Carga!$E$9+$C26))</f>
        <v>0.63</v>
      </c>
      <c r="Q26" s="17">
        <f>+O26*P26*Carga!P26/360</f>
        <v>0</v>
      </c>
      <c r="R26" s="17">
        <f t="shared" si="49"/>
        <v>0</v>
      </c>
      <c r="S26" s="17">
        <f t="shared" si="2"/>
        <v>0</v>
      </c>
      <c r="T26" s="17">
        <f t="shared" si="61"/>
        <v>0</v>
      </c>
      <c r="U26" s="17">
        <f t="shared" si="4"/>
        <v>0</v>
      </c>
      <c r="W26" s="17">
        <f t="shared" si="5"/>
        <v>6578975</v>
      </c>
      <c r="X26" s="17">
        <f t="shared" si="50"/>
        <v>0</v>
      </c>
      <c r="Y26" s="18">
        <f>+MAX(Carga!$D$10,MIN(Carga!$F$10,Carga!$E$10+$C26))</f>
        <v>0.61</v>
      </c>
      <c r="Z26" s="17">
        <f t="shared" si="51"/>
        <v>0</v>
      </c>
      <c r="AA26" s="17">
        <f t="shared" si="6"/>
        <v>0</v>
      </c>
      <c r="AB26" s="17">
        <f t="shared" si="7"/>
        <v>0</v>
      </c>
      <c r="AC26" s="17">
        <f t="shared" si="8"/>
        <v>0</v>
      </c>
      <c r="AE26" s="17">
        <f t="shared" si="9"/>
        <v>6578975</v>
      </c>
      <c r="AF26" s="17">
        <f t="shared" si="52"/>
        <v>100</v>
      </c>
      <c r="AG26" s="16" t="b">
        <f t="shared" si="10"/>
        <v>0</v>
      </c>
      <c r="AH26" s="17">
        <f t="shared" si="11"/>
        <v>0</v>
      </c>
      <c r="AI26" s="17">
        <f t="shared" si="12"/>
        <v>6578975</v>
      </c>
      <c r="AJ26" s="17">
        <f t="shared" si="13"/>
        <v>6578975</v>
      </c>
      <c r="AL26" s="16">
        <f t="shared" si="14"/>
        <v>675</v>
      </c>
      <c r="AN26" s="17">
        <f t="shared" si="15"/>
        <v>0</v>
      </c>
      <c r="AO26" s="17" t="e">
        <f t="shared" si="16"/>
        <v>#NUM!</v>
      </c>
      <c r="AP26" s="16" t="e">
        <f t="shared" si="17"/>
        <v>#NUM!</v>
      </c>
      <c r="AR26" s="17">
        <f t="shared" si="18"/>
        <v>0</v>
      </c>
      <c r="AS26" s="17" t="e">
        <f t="shared" si="19"/>
        <v>#NUM!</v>
      </c>
      <c r="AT26" s="17" t="e">
        <f t="shared" si="20"/>
        <v>#NUM!</v>
      </c>
      <c r="AV26" s="17">
        <f t="shared" si="21"/>
        <v>0</v>
      </c>
      <c r="AW26" s="17" t="e">
        <f t="shared" si="22"/>
        <v>#NUM!</v>
      </c>
      <c r="AX26" s="17" t="e">
        <f t="shared" si="23"/>
        <v>#NUM!</v>
      </c>
      <c r="AZ26" s="17">
        <f t="shared" si="24"/>
        <v>6578975</v>
      </c>
      <c r="BA26" s="17" t="e">
        <f t="shared" si="25"/>
        <v>#NUM!</v>
      </c>
      <c r="BB26" s="17" t="e">
        <f t="shared" si="26"/>
        <v>#NUM!</v>
      </c>
      <c r="BD26" s="17">
        <f t="shared" si="27"/>
        <v>0</v>
      </c>
      <c r="BE26" s="17">
        <f t="shared" si="28"/>
        <v>0</v>
      </c>
      <c r="BF26" s="17">
        <f t="shared" si="29"/>
        <v>0</v>
      </c>
      <c r="BG26" s="17">
        <f t="shared" si="30"/>
        <v>6578975</v>
      </c>
      <c r="BI26" s="17" t="e">
        <f t="shared" si="31"/>
        <v>#DIV/0!</v>
      </c>
      <c r="BJ26" s="17" t="e">
        <f t="shared" si="32"/>
        <v>#DIV/0!</v>
      </c>
      <c r="BK26" s="17">
        <f t="shared" ca="1" si="33"/>
        <v>0</v>
      </c>
      <c r="BL26" s="17">
        <f t="shared" si="34"/>
        <v>54453247</v>
      </c>
      <c r="BM26" s="17">
        <f t="shared" si="35"/>
        <v>0</v>
      </c>
      <c r="BN26" s="17">
        <f t="shared" si="36"/>
        <v>0</v>
      </c>
      <c r="BO26" s="17">
        <f t="shared" si="37"/>
        <v>0</v>
      </c>
      <c r="BP26" s="18">
        <f t="shared" si="38"/>
        <v>0</v>
      </c>
      <c r="BQ26" s="18">
        <f t="shared" si="39"/>
        <v>0</v>
      </c>
      <c r="BR26" s="18">
        <f t="shared" si="40"/>
        <v>0</v>
      </c>
      <c r="BS26" s="18">
        <f t="shared" ref="BS26:BU26" si="94">+(1-BP26)</f>
        <v>1</v>
      </c>
      <c r="BT26" s="18">
        <f t="shared" si="94"/>
        <v>1</v>
      </c>
      <c r="BU26" s="18">
        <f t="shared" si="94"/>
        <v>1</v>
      </c>
      <c r="BV26" s="20" t="e">
        <f t="shared" ref="BV26:BX26" si="95">ROUND(1/BP26,2)</f>
        <v>#DIV/0!</v>
      </c>
      <c r="BW26" s="20" t="e">
        <f t="shared" si="95"/>
        <v>#DIV/0!</v>
      </c>
      <c r="BX26" s="20" t="e">
        <f t="shared" si="95"/>
        <v>#DIV/0!</v>
      </c>
      <c r="BY26" s="15">
        <f t="shared" si="43"/>
        <v>45464</v>
      </c>
    </row>
    <row r="27" spans="2:77">
      <c r="B27" s="151">
        <f>+Carga!K27</f>
        <v>45495</v>
      </c>
      <c r="C27" s="152">
        <f>+'Calculadora VDFA'!$M$6</f>
        <v>0.61</v>
      </c>
      <c r="E27" s="6">
        <f>Carga!L27</f>
        <v>5585863</v>
      </c>
      <c r="F27" s="6">
        <f t="shared" si="44"/>
        <v>0</v>
      </c>
      <c r="G27" s="11">
        <f>+MAX(Carga!$D$8,MIN(Carga!$F$8,Carga!$E$8+$C27))</f>
        <v>0.61</v>
      </c>
      <c r="H27" s="6">
        <f>F27*G27*Carga!P27/360</f>
        <v>0</v>
      </c>
      <c r="I27" s="154">
        <f t="shared" si="45"/>
        <v>-2.5320332497358322E-9</v>
      </c>
      <c r="J27" s="6">
        <f t="shared" si="46"/>
        <v>0</v>
      </c>
      <c r="K27" s="6">
        <f t="shared" si="47"/>
        <v>0</v>
      </c>
      <c r="L27" s="6">
        <f t="shared" si="0"/>
        <v>0</v>
      </c>
      <c r="N27" s="6">
        <f t="shared" si="1"/>
        <v>5585863</v>
      </c>
      <c r="O27" s="6">
        <f t="shared" si="48"/>
        <v>0</v>
      </c>
      <c r="P27" s="11">
        <f>+MAX(Carga!$D$9,MIN(Carga!$F$9,Carga!$E$9+$C27))</f>
        <v>0.63</v>
      </c>
      <c r="Q27" s="6">
        <f>+O27*P27*Carga!P27/360</f>
        <v>0</v>
      </c>
      <c r="R27" s="6">
        <f t="shared" si="49"/>
        <v>0</v>
      </c>
      <c r="S27" s="6">
        <f t="shared" si="2"/>
        <v>0</v>
      </c>
      <c r="T27" s="6">
        <f t="shared" si="61"/>
        <v>0</v>
      </c>
      <c r="U27" s="6">
        <f t="shared" si="4"/>
        <v>0</v>
      </c>
      <c r="W27" s="6">
        <f t="shared" si="5"/>
        <v>5585863</v>
      </c>
      <c r="X27" s="6">
        <f t="shared" si="50"/>
        <v>0</v>
      </c>
      <c r="Y27" s="11">
        <f>+MAX(Carga!$D$10,MIN(Carga!$F$10,Carga!$E$10+$C27))</f>
        <v>0.61</v>
      </c>
      <c r="Z27" s="6">
        <f t="shared" si="51"/>
        <v>0</v>
      </c>
      <c r="AA27" s="6">
        <f t="shared" si="6"/>
        <v>0</v>
      </c>
      <c r="AB27" s="6">
        <f t="shared" si="7"/>
        <v>0</v>
      </c>
      <c r="AC27" s="6">
        <f t="shared" si="8"/>
        <v>0</v>
      </c>
      <c r="AE27" s="6">
        <f t="shared" si="9"/>
        <v>5585863</v>
      </c>
      <c r="AF27" s="6">
        <f t="shared" si="52"/>
        <v>100</v>
      </c>
      <c r="AG27" s="11" t="b">
        <f t="shared" si="10"/>
        <v>0</v>
      </c>
      <c r="AH27" s="6">
        <f t="shared" si="11"/>
        <v>0</v>
      </c>
      <c r="AI27" s="6">
        <f t="shared" si="12"/>
        <v>5585863</v>
      </c>
      <c r="AJ27" s="6">
        <f t="shared" si="13"/>
        <v>5585863</v>
      </c>
      <c r="AL27" s="6">
        <f t="shared" si="14"/>
        <v>706</v>
      </c>
      <c r="AN27" s="6">
        <f t="shared" si="15"/>
        <v>0</v>
      </c>
      <c r="AO27" s="6" t="e">
        <f t="shared" si="16"/>
        <v>#NUM!</v>
      </c>
      <c r="AP27" s="6" t="e">
        <f t="shared" si="17"/>
        <v>#NUM!</v>
      </c>
      <c r="AR27" s="6">
        <f t="shared" si="18"/>
        <v>0</v>
      </c>
      <c r="AS27" s="6" t="e">
        <f t="shared" si="19"/>
        <v>#NUM!</v>
      </c>
      <c r="AT27" s="6" t="e">
        <f t="shared" si="20"/>
        <v>#NUM!</v>
      </c>
      <c r="AV27" s="6">
        <f t="shared" si="21"/>
        <v>0</v>
      </c>
      <c r="AW27" s="6" t="e">
        <f t="shared" si="22"/>
        <v>#NUM!</v>
      </c>
      <c r="AX27" s="6" t="e">
        <f t="shared" si="23"/>
        <v>#NUM!</v>
      </c>
      <c r="AZ27" s="6">
        <f t="shared" si="24"/>
        <v>5585863</v>
      </c>
      <c r="BA27" s="6" t="e">
        <f t="shared" si="25"/>
        <v>#NUM!</v>
      </c>
      <c r="BB27" s="6" t="e">
        <f t="shared" si="26"/>
        <v>#NUM!</v>
      </c>
      <c r="BD27" s="6">
        <f t="shared" si="27"/>
        <v>0</v>
      </c>
      <c r="BE27" s="6">
        <f t="shared" si="28"/>
        <v>0</v>
      </c>
      <c r="BF27" s="6">
        <f t="shared" si="29"/>
        <v>0</v>
      </c>
      <c r="BG27" s="6">
        <f t="shared" si="30"/>
        <v>5585863</v>
      </c>
      <c r="BI27" s="6" t="e">
        <f t="shared" si="31"/>
        <v>#DIV/0!</v>
      </c>
      <c r="BJ27" s="6" t="e">
        <f t="shared" si="32"/>
        <v>#DIV/0!</v>
      </c>
      <c r="BK27" s="6">
        <f t="shared" ca="1" si="33"/>
        <v>0</v>
      </c>
      <c r="BL27" s="6">
        <f t="shared" si="34"/>
        <v>47874272</v>
      </c>
      <c r="BM27" s="6">
        <f t="shared" si="35"/>
        <v>0</v>
      </c>
      <c r="BN27" s="6">
        <f t="shared" si="36"/>
        <v>0</v>
      </c>
      <c r="BO27" s="6">
        <f t="shared" si="37"/>
        <v>0</v>
      </c>
      <c r="BP27" s="11">
        <f t="shared" si="38"/>
        <v>0</v>
      </c>
      <c r="BQ27" s="11">
        <f t="shared" si="39"/>
        <v>0</v>
      </c>
      <c r="BR27" s="11">
        <f t="shared" si="40"/>
        <v>0</v>
      </c>
      <c r="BS27" s="11">
        <f t="shared" ref="BS27:BU27" si="96">+(1-BP27)</f>
        <v>1</v>
      </c>
      <c r="BT27" s="11">
        <f t="shared" si="96"/>
        <v>1</v>
      </c>
      <c r="BU27" s="11">
        <f t="shared" si="96"/>
        <v>1</v>
      </c>
      <c r="BV27" s="19" t="e">
        <f t="shared" ref="BV27:BX27" si="97">ROUND(1/BP27,2)</f>
        <v>#DIV/0!</v>
      </c>
      <c r="BW27" s="19" t="e">
        <f t="shared" si="97"/>
        <v>#DIV/0!</v>
      </c>
      <c r="BX27" s="19" t="e">
        <f t="shared" si="97"/>
        <v>#DIV/0!</v>
      </c>
      <c r="BY27" s="7">
        <f t="shared" si="43"/>
        <v>45495</v>
      </c>
    </row>
    <row r="28" spans="2:77">
      <c r="B28" s="151">
        <f>+Carga!K28</f>
        <v>45524</v>
      </c>
      <c r="C28" s="153">
        <f>+'Calculadora VDFA'!$M$6</f>
        <v>0.61</v>
      </c>
      <c r="E28" s="17">
        <f>Carga!L28</f>
        <v>5340962</v>
      </c>
      <c r="F28" s="17">
        <f t="shared" si="44"/>
        <v>0</v>
      </c>
      <c r="G28" s="18">
        <f>+MAX(Carga!$D$8,MIN(Carga!$F$8,Carga!$E$8+$C28))</f>
        <v>0.61</v>
      </c>
      <c r="H28" s="17">
        <f>F28*G28*Carga!P28/360</f>
        <v>0</v>
      </c>
      <c r="I28" s="155">
        <f t="shared" si="45"/>
        <v>-2.5320332497358322E-9</v>
      </c>
      <c r="J28" s="17">
        <f t="shared" si="46"/>
        <v>0</v>
      </c>
      <c r="K28" s="17">
        <f t="shared" si="47"/>
        <v>0</v>
      </c>
      <c r="L28" s="17">
        <f t="shared" si="0"/>
        <v>0</v>
      </c>
      <c r="N28" s="17">
        <f t="shared" si="1"/>
        <v>5340962</v>
      </c>
      <c r="O28" s="17">
        <f t="shared" si="48"/>
        <v>0</v>
      </c>
      <c r="P28" s="18">
        <f>+MAX(Carga!$D$9,MIN(Carga!$F$9,Carga!$E$9+$C28))</f>
        <v>0.63</v>
      </c>
      <c r="Q28" s="17">
        <f>+O28*P28*Carga!P28/360</f>
        <v>0</v>
      </c>
      <c r="R28" s="17">
        <f t="shared" si="49"/>
        <v>0</v>
      </c>
      <c r="S28" s="17">
        <f t="shared" si="2"/>
        <v>0</v>
      </c>
      <c r="T28" s="17">
        <f t="shared" si="61"/>
        <v>0</v>
      </c>
      <c r="U28" s="17">
        <f t="shared" si="4"/>
        <v>0</v>
      </c>
      <c r="W28" s="17">
        <f t="shared" si="5"/>
        <v>5340962</v>
      </c>
      <c r="X28" s="17">
        <f t="shared" si="50"/>
        <v>0</v>
      </c>
      <c r="Y28" s="18">
        <f>+MAX(Carga!$D$10,MIN(Carga!$F$10,Carga!$E$10+$C28))</f>
        <v>0.61</v>
      </c>
      <c r="Z28" s="17">
        <f t="shared" si="51"/>
        <v>0</v>
      </c>
      <c r="AA28" s="17">
        <f t="shared" si="6"/>
        <v>0</v>
      </c>
      <c r="AB28" s="17">
        <f t="shared" si="7"/>
        <v>0</v>
      </c>
      <c r="AC28" s="17">
        <f t="shared" si="8"/>
        <v>0</v>
      </c>
      <c r="AE28" s="17">
        <f t="shared" si="9"/>
        <v>5340962</v>
      </c>
      <c r="AF28" s="17">
        <f t="shared" si="52"/>
        <v>100</v>
      </c>
      <c r="AG28" s="16" t="b">
        <f t="shared" si="10"/>
        <v>0</v>
      </c>
      <c r="AH28" s="17">
        <f t="shared" si="11"/>
        <v>0</v>
      </c>
      <c r="AI28" s="17">
        <f t="shared" si="12"/>
        <v>5340962</v>
      </c>
      <c r="AJ28" s="17">
        <f t="shared" si="13"/>
        <v>5340962</v>
      </c>
      <c r="AL28" s="16">
        <f t="shared" si="14"/>
        <v>735</v>
      </c>
      <c r="AN28" s="17">
        <f t="shared" si="15"/>
        <v>0</v>
      </c>
      <c r="AO28" s="17" t="e">
        <f t="shared" si="16"/>
        <v>#NUM!</v>
      </c>
      <c r="AP28" s="16" t="e">
        <f t="shared" si="17"/>
        <v>#NUM!</v>
      </c>
      <c r="AR28" s="17">
        <f t="shared" si="18"/>
        <v>0</v>
      </c>
      <c r="AS28" s="17" t="e">
        <f t="shared" si="19"/>
        <v>#NUM!</v>
      </c>
      <c r="AT28" s="17" t="e">
        <f t="shared" si="20"/>
        <v>#NUM!</v>
      </c>
      <c r="AV28" s="17">
        <f t="shared" si="21"/>
        <v>0</v>
      </c>
      <c r="AW28" s="17" t="e">
        <f t="shared" si="22"/>
        <v>#NUM!</v>
      </c>
      <c r="AX28" s="17" t="e">
        <f t="shared" si="23"/>
        <v>#NUM!</v>
      </c>
      <c r="AZ28" s="17">
        <f t="shared" si="24"/>
        <v>5340962</v>
      </c>
      <c r="BA28" s="17" t="e">
        <f t="shared" si="25"/>
        <v>#NUM!</v>
      </c>
      <c r="BB28" s="17" t="e">
        <f t="shared" si="26"/>
        <v>#NUM!</v>
      </c>
      <c r="BD28" s="17">
        <f t="shared" si="27"/>
        <v>0</v>
      </c>
      <c r="BE28" s="17">
        <f t="shared" si="28"/>
        <v>0</v>
      </c>
      <c r="BF28" s="17">
        <f t="shared" si="29"/>
        <v>0</v>
      </c>
      <c r="BG28" s="17">
        <f t="shared" si="30"/>
        <v>5340962</v>
      </c>
      <c r="BI28" s="17" t="e">
        <f t="shared" si="31"/>
        <v>#DIV/0!</v>
      </c>
      <c r="BJ28" s="17" t="e">
        <f t="shared" si="32"/>
        <v>#DIV/0!</v>
      </c>
      <c r="BK28" s="17">
        <f t="shared" ca="1" si="33"/>
        <v>0</v>
      </c>
      <c r="BL28" s="17">
        <f t="shared" si="34"/>
        <v>42288409</v>
      </c>
      <c r="BM28" s="17">
        <f t="shared" si="35"/>
        <v>0</v>
      </c>
      <c r="BN28" s="17">
        <f t="shared" si="36"/>
        <v>0</v>
      </c>
      <c r="BO28" s="17">
        <f t="shared" si="37"/>
        <v>0</v>
      </c>
      <c r="BP28" s="18">
        <f t="shared" si="38"/>
        <v>0</v>
      </c>
      <c r="BQ28" s="18">
        <f t="shared" si="39"/>
        <v>0</v>
      </c>
      <c r="BR28" s="18">
        <f t="shared" si="40"/>
        <v>0</v>
      </c>
      <c r="BS28" s="18">
        <f t="shared" ref="BS28:BU28" si="98">+(1-BP28)</f>
        <v>1</v>
      </c>
      <c r="BT28" s="18">
        <f t="shared" si="98"/>
        <v>1</v>
      </c>
      <c r="BU28" s="18">
        <f t="shared" si="98"/>
        <v>1</v>
      </c>
      <c r="BV28" s="20" t="e">
        <f t="shared" ref="BV28:BX28" si="99">ROUND(1/BP28,2)</f>
        <v>#DIV/0!</v>
      </c>
      <c r="BW28" s="20" t="e">
        <f t="shared" si="99"/>
        <v>#DIV/0!</v>
      </c>
      <c r="BX28" s="20" t="e">
        <f t="shared" si="99"/>
        <v>#DIV/0!</v>
      </c>
      <c r="BY28" s="15">
        <f t="shared" si="43"/>
        <v>45524</v>
      </c>
    </row>
    <row r="29" spans="2:77">
      <c r="B29" s="151">
        <f>+Carga!K29</f>
        <v>45555</v>
      </c>
      <c r="C29" s="152">
        <f>+'Calculadora VDFA'!$M$6</f>
        <v>0.61</v>
      </c>
      <c r="E29" s="6">
        <f>Carga!L29</f>
        <v>5233759</v>
      </c>
      <c r="F29" s="6">
        <f t="shared" si="44"/>
        <v>0</v>
      </c>
      <c r="G29" s="11">
        <f>+MAX(Carga!$D$8,MIN(Carga!$F$8,Carga!$E$8+$C29))</f>
        <v>0.61</v>
      </c>
      <c r="H29" s="6">
        <f>F29*G29*Carga!P29/360</f>
        <v>0</v>
      </c>
      <c r="I29" s="154">
        <f t="shared" si="45"/>
        <v>-2.5320332497358322E-9</v>
      </c>
      <c r="J29" s="6">
        <f t="shared" si="46"/>
        <v>0</v>
      </c>
      <c r="K29" s="6">
        <f t="shared" si="47"/>
        <v>0</v>
      </c>
      <c r="L29" s="6">
        <f t="shared" si="0"/>
        <v>0</v>
      </c>
      <c r="N29" s="6">
        <f t="shared" si="1"/>
        <v>5233759</v>
      </c>
      <c r="O29" s="6">
        <f t="shared" si="48"/>
        <v>0</v>
      </c>
      <c r="P29" s="11">
        <f>+MAX(Carga!$D$9,MIN(Carga!$F$9,Carga!$E$9+$C29))</f>
        <v>0.63</v>
      </c>
      <c r="Q29" s="6">
        <f>+O29*P29*Carga!P29/360</f>
        <v>0</v>
      </c>
      <c r="R29" s="6">
        <f t="shared" si="49"/>
        <v>0</v>
      </c>
      <c r="S29" s="6">
        <f t="shared" si="2"/>
        <v>0</v>
      </c>
      <c r="T29" s="6">
        <f t="shared" si="61"/>
        <v>0</v>
      </c>
      <c r="U29" s="6">
        <f t="shared" si="4"/>
        <v>0</v>
      </c>
      <c r="W29" s="6">
        <f t="shared" si="5"/>
        <v>5233759</v>
      </c>
      <c r="X29" s="6">
        <f t="shared" si="50"/>
        <v>0</v>
      </c>
      <c r="Y29" s="11">
        <f>+MAX(Carga!$D$10,MIN(Carga!$F$10,Carga!$E$10+$C29))</f>
        <v>0.61</v>
      </c>
      <c r="Z29" s="6">
        <f t="shared" si="51"/>
        <v>0</v>
      </c>
      <c r="AA29" s="6">
        <f t="shared" si="6"/>
        <v>0</v>
      </c>
      <c r="AB29" s="6">
        <f t="shared" si="7"/>
        <v>0</v>
      </c>
      <c r="AC29" s="6">
        <f t="shared" si="8"/>
        <v>0</v>
      </c>
      <c r="AE29" s="6">
        <f t="shared" si="9"/>
        <v>5233759</v>
      </c>
      <c r="AF29" s="6">
        <f t="shared" si="52"/>
        <v>100</v>
      </c>
      <c r="AG29" s="11" t="b">
        <f t="shared" si="10"/>
        <v>0</v>
      </c>
      <c r="AH29" s="6">
        <f t="shared" si="11"/>
        <v>0</v>
      </c>
      <c r="AI29" s="6">
        <f t="shared" si="12"/>
        <v>5233759</v>
      </c>
      <c r="AJ29" s="6">
        <f t="shared" si="13"/>
        <v>5233759</v>
      </c>
      <c r="AL29" s="6">
        <f t="shared" si="14"/>
        <v>766</v>
      </c>
      <c r="AN29" s="6">
        <f t="shared" si="15"/>
        <v>0</v>
      </c>
      <c r="AO29" s="6" t="e">
        <f t="shared" si="16"/>
        <v>#NUM!</v>
      </c>
      <c r="AP29" s="6" t="e">
        <f t="shared" si="17"/>
        <v>#NUM!</v>
      </c>
      <c r="AR29" s="6">
        <f t="shared" si="18"/>
        <v>0</v>
      </c>
      <c r="AS29" s="6" t="e">
        <f t="shared" si="19"/>
        <v>#NUM!</v>
      </c>
      <c r="AT29" s="6" t="e">
        <f t="shared" si="20"/>
        <v>#NUM!</v>
      </c>
      <c r="AV29" s="6">
        <f t="shared" si="21"/>
        <v>0</v>
      </c>
      <c r="AW29" s="6" t="e">
        <f t="shared" si="22"/>
        <v>#NUM!</v>
      </c>
      <c r="AX29" s="6" t="e">
        <f t="shared" si="23"/>
        <v>#NUM!</v>
      </c>
      <c r="AZ29" s="6">
        <f t="shared" si="24"/>
        <v>5233759</v>
      </c>
      <c r="BA29" s="6" t="e">
        <f t="shared" si="25"/>
        <v>#NUM!</v>
      </c>
      <c r="BB29" s="6" t="e">
        <f t="shared" si="26"/>
        <v>#NUM!</v>
      </c>
      <c r="BD29" s="6">
        <f t="shared" si="27"/>
        <v>0</v>
      </c>
      <c r="BE29" s="6">
        <f t="shared" si="28"/>
        <v>0</v>
      </c>
      <c r="BF29" s="6">
        <f t="shared" si="29"/>
        <v>0</v>
      </c>
      <c r="BG29" s="6">
        <f t="shared" si="30"/>
        <v>5233759</v>
      </c>
      <c r="BI29" s="6" t="e">
        <f t="shared" si="31"/>
        <v>#DIV/0!</v>
      </c>
      <c r="BJ29" s="6" t="e">
        <f t="shared" si="32"/>
        <v>#DIV/0!</v>
      </c>
      <c r="BK29" s="6">
        <f t="shared" ca="1" si="33"/>
        <v>0</v>
      </c>
      <c r="BL29" s="6">
        <f t="shared" si="34"/>
        <v>36947447</v>
      </c>
      <c r="BM29" s="6">
        <f t="shared" si="35"/>
        <v>0</v>
      </c>
      <c r="BN29" s="6">
        <f t="shared" si="36"/>
        <v>0</v>
      </c>
      <c r="BO29" s="6">
        <f t="shared" si="37"/>
        <v>0</v>
      </c>
      <c r="BP29" s="11">
        <f t="shared" si="38"/>
        <v>0</v>
      </c>
      <c r="BQ29" s="11">
        <f t="shared" si="39"/>
        <v>0</v>
      </c>
      <c r="BR29" s="11">
        <f t="shared" si="40"/>
        <v>0</v>
      </c>
      <c r="BS29" s="11">
        <f t="shared" ref="BS29:BU29" si="100">+(1-BP29)</f>
        <v>1</v>
      </c>
      <c r="BT29" s="11">
        <f t="shared" si="100"/>
        <v>1</v>
      </c>
      <c r="BU29" s="11">
        <f t="shared" si="100"/>
        <v>1</v>
      </c>
      <c r="BV29" s="19" t="e">
        <f t="shared" ref="BV29:BX29" si="101">ROUND(1/BP29,2)</f>
        <v>#DIV/0!</v>
      </c>
      <c r="BW29" s="19" t="e">
        <f t="shared" si="101"/>
        <v>#DIV/0!</v>
      </c>
      <c r="BX29" s="19" t="e">
        <f t="shared" si="101"/>
        <v>#DIV/0!</v>
      </c>
      <c r="BY29" s="7">
        <f t="shared" si="43"/>
        <v>45555</v>
      </c>
    </row>
    <row r="30" spans="2:77">
      <c r="B30" s="151">
        <f>+Carga!K30</f>
        <v>45586</v>
      </c>
      <c r="C30" s="153">
        <f>+'Calculadora VDFA'!$M$6</f>
        <v>0.61</v>
      </c>
      <c r="E30" s="17">
        <f>Carga!L30</f>
        <v>5101301</v>
      </c>
      <c r="F30" s="17">
        <f t="shared" si="44"/>
        <v>0</v>
      </c>
      <c r="G30" s="18">
        <f>+MAX(Carga!$D$8,MIN(Carga!$F$8,Carga!$E$8+$C30))</f>
        <v>0.61</v>
      </c>
      <c r="H30" s="17">
        <f>F30*G30*Carga!P30/360</f>
        <v>0</v>
      </c>
      <c r="I30" s="155">
        <f t="shared" si="45"/>
        <v>-2.5320332497358322E-9</v>
      </c>
      <c r="J30" s="17">
        <f t="shared" si="46"/>
        <v>0</v>
      </c>
      <c r="K30" s="17">
        <f t="shared" si="47"/>
        <v>0</v>
      </c>
      <c r="L30" s="17">
        <f t="shared" si="0"/>
        <v>0</v>
      </c>
      <c r="N30" s="17">
        <f t="shared" si="1"/>
        <v>5101301</v>
      </c>
      <c r="O30" s="17">
        <f t="shared" si="48"/>
        <v>0</v>
      </c>
      <c r="P30" s="18">
        <f>+MAX(Carga!$D$9,MIN(Carga!$F$9,Carga!$E$9+$C30))</f>
        <v>0.63</v>
      </c>
      <c r="Q30" s="17">
        <f>+O30*P30*Carga!P30/360</f>
        <v>0</v>
      </c>
      <c r="R30" s="17">
        <f t="shared" si="49"/>
        <v>0</v>
      </c>
      <c r="S30" s="17">
        <f t="shared" si="2"/>
        <v>0</v>
      </c>
      <c r="T30" s="17">
        <f t="shared" si="61"/>
        <v>0</v>
      </c>
      <c r="U30" s="17">
        <f t="shared" si="4"/>
        <v>0</v>
      </c>
      <c r="W30" s="17">
        <f t="shared" si="5"/>
        <v>5101301</v>
      </c>
      <c r="X30" s="17">
        <f t="shared" si="50"/>
        <v>0</v>
      </c>
      <c r="Y30" s="18">
        <f>+MAX(Carga!$D$10,MIN(Carga!$F$10,Carga!$E$10+$C30))</f>
        <v>0.61</v>
      </c>
      <c r="Z30" s="17">
        <f t="shared" si="51"/>
        <v>0</v>
      </c>
      <c r="AA30" s="17">
        <f t="shared" si="6"/>
        <v>0</v>
      </c>
      <c r="AB30" s="17">
        <f t="shared" si="7"/>
        <v>0</v>
      </c>
      <c r="AC30" s="17">
        <f t="shared" si="8"/>
        <v>0</v>
      </c>
      <c r="AE30" s="17">
        <f t="shared" si="9"/>
        <v>5101301</v>
      </c>
      <c r="AF30" s="17">
        <f t="shared" si="52"/>
        <v>100</v>
      </c>
      <c r="AG30" s="16" t="b">
        <f t="shared" si="10"/>
        <v>0</v>
      </c>
      <c r="AH30" s="17">
        <f t="shared" si="11"/>
        <v>0</v>
      </c>
      <c r="AI30" s="17">
        <f t="shared" si="12"/>
        <v>5101301</v>
      </c>
      <c r="AJ30" s="17">
        <f t="shared" si="13"/>
        <v>5101301</v>
      </c>
      <c r="AL30" s="16">
        <f t="shared" si="14"/>
        <v>797</v>
      </c>
      <c r="AN30" s="17">
        <f t="shared" si="15"/>
        <v>0</v>
      </c>
      <c r="AO30" s="17" t="e">
        <f t="shared" si="16"/>
        <v>#NUM!</v>
      </c>
      <c r="AP30" s="16" t="e">
        <f t="shared" si="17"/>
        <v>#NUM!</v>
      </c>
      <c r="AR30" s="17">
        <f t="shared" si="18"/>
        <v>0</v>
      </c>
      <c r="AS30" s="17" t="e">
        <f t="shared" si="19"/>
        <v>#NUM!</v>
      </c>
      <c r="AT30" s="17" t="e">
        <f t="shared" si="20"/>
        <v>#NUM!</v>
      </c>
      <c r="AV30" s="17">
        <f t="shared" si="21"/>
        <v>0</v>
      </c>
      <c r="AW30" s="17" t="e">
        <f t="shared" si="22"/>
        <v>#NUM!</v>
      </c>
      <c r="AX30" s="17" t="e">
        <f t="shared" si="23"/>
        <v>#NUM!</v>
      </c>
      <c r="AZ30" s="17">
        <f t="shared" si="24"/>
        <v>5101301</v>
      </c>
      <c r="BA30" s="17" t="e">
        <f t="shared" si="25"/>
        <v>#NUM!</v>
      </c>
      <c r="BB30" s="17" t="e">
        <f t="shared" si="26"/>
        <v>#NUM!</v>
      </c>
      <c r="BD30" s="17">
        <f t="shared" si="27"/>
        <v>0</v>
      </c>
      <c r="BE30" s="17">
        <f t="shared" si="28"/>
        <v>0</v>
      </c>
      <c r="BF30" s="17">
        <f t="shared" si="29"/>
        <v>0</v>
      </c>
      <c r="BG30" s="17">
        <f t="shared" si="30"/>
        <v>5101301</v>
      </c>
      <c r="BI30" s="17" t="e">
        <f t="shared" si="31"/>
        <v>#DIV/0!</v>
      </c>
      <c r="BJ30" s="17" t="e">
        <f t="shared" si="32"/>
        <v>#DIV/0!</v>
      </c>
      <c r="BK30" s="17">
        <f t="shared" ca="1" si="33"/>
        <v>0</v>
      </c>
      <c r="BL30" s="17">
        <f t="shared" si="34"/>
        <v>31713688</v>
      </c>
      <c r="BM30" s="17">
        <f t="shared" si="35"/>
        <v>0</v>
      </c>
      <c r="BN30" s="17">
        <f t="shared" si="36"/>
        <v>0</v>
      </c>
      <c r="BO30" s="17">
        <f t="shared" si="37"/>
        <v>0</v>
      </c>
      <c r="BP30" s="18">
        <f t="shared" si="38"/>
        <v>0</v>
      </c>
      <c r="BQ30" s="18">
        <f t="shared" si="39"/>
        <v>0</v>
      </c>
      <c r="BR30" s="18">
        <f t="shared" si="40"/>
        <v>0</v>
      </c>
      <c r="BS30" s="18">
        <f t="shared" ref="BS30:BU30" si="102">+(1-BP30)</f>
        <v>1</v>
      </c>
      <c r="BT30" s="18">
        <f t="shared" si="102"/>
        <v>1</v>
      </c>
      <c r="BU30" s="18">
        <f t="shared" si="102"/>
        <v>1</v>
      </c>
      <c r="BV30" s="20" t="e">
        <f t="shared" ref="BV30:BX30" si="103">ROUND(1/BP30,2)</f>
        <v>#DIV/0!</v>
      </c>
      <c r="BW30" s="20" t="e">
        <f t="shared" si="103"/>
        <v>#DIV/0!</v>
      </c>
      <c r="BX30" s="20" t="e">
        <f t="shared" si="103"/>
        <v>#DIV/0!</v>
      </c>
      <c r="BY30" s="15">
        <f t="shared" si="43"/>
        <v>45586</v>
      </c>
    </row>
    <row r="31" spans="2:77">
      <c r="B31" s="151">
        <f>+Carga!K31</f>
        <v>45616</v>
      </c>
      <c r="C31" s="152">
        <f>+'Calculadora VDFA'!$M$6</f>
        <v>0.61</v>
      </c>
      <c r="E31" s="6">
        <f>Carga!L31</f>
        <v>4867505</v>
      </c>
      <c r="F31" s="6">
        <f t="shared" si="44"/>
        <v>0</v>
      </c>
      <c r="G31" s="11">
        <f>+MAX(Carga!$D$8,MIN(Carga!$F$8,Carga!$E$8+$C31))</f>
        <v>0.61</v>
      </c>
      <c r="H31" s="6">
        <f>F31*G31*Carga!P31/360</f>
        <v>0</v>
      </c>
      <c r="I31" s="154">
        <f t="shared" si="45"/>
        <v>-2.5320332497358322E-9</v>
      </c>
      <c r="J31" s="6">
        <f t="shared" si="46"/>
        <v>0</v>
      </c>
      <c r="K31" s="6">
        <f t="shared" si="47"/>
        <v>0</v>
      </c>
      <c r="L31" s="6">
        <f t="shared" si="0"/>
        <v>0</v>
      </c>
      <c r="N31" s="6">
        <f t="shared" si="1"/>
        <v>4867505</v>
      </c>
      <c r="O31" s="6">
        <f t="shared" si="48"/>
        <v>0</v>
      </c>
      <c r="P31" s="11">
        <f>+MAX(Carga!$D$9,MIN(Carga!$F$9,Carga!$E$9+$C31))</f>
        <v>0.63</v>
      </c>
      <c r="Q31" s="6">
        <f>+O31*P31*Carga!P31/360</f>
        <v>0</v>
      </c>
      <c r="R31" s="6">
        <f t="shared" si="49"/>
        <v>0</v>
      </c>
      <c r="S31" s="6">
        <f t="shared" si="2"/>
        <v>0</v>
      </c>
      <c r="T31" s="6">
        <f t="shared" si="61"/>
        <v>0</v>
      </c>
      <c r="U31" s="6">
        <f t="shared" si="4"/>
        <v>0</v>
      </c>
      <c r="W31" s="6">
        <f t="shared" si="5"/>
        <v>4867505</v>
      </c>
      <c r="X31" s="6">
        <f t="shared" si="50"/>
        <v>0</v>
      </c>
      <c r="Y31" s="11">
        <f>+MAX(Carga!$D$10,MIN(Carga!$F$10,Carga!$E$10+$C31))</f>
        <v>0.61</v>
      </c>
      <c r="Z31" s="6">
        <f t="shared" si="51"/>
        <v>0</v>
      </c>
      <c r="AA31" s="6">
        <f t="shared" si="6"/>
        <v>0</v>
      </c>
      <c r="AB31" s="6">
        <f t="shared" si="7"/>
        <v>0</v>
      </c>
      <c r="AC31" s="6">
        <f t="shared" si="8"/>
        <v>0</v>
      </c>
      <c r="AE31" s="6">
        <f t="shared" si="9"/>
        <v>4867505</v>
      </c>
      <c r="AF31" s="6">
        <f t="shared" si="52"/>
        <v>100</v>
      </c>
      <c r="AG31" s="11" t="b">
        <f t="shared" si="10"/>
        <v>0</v>
      </c>
      <c r="AH31" s="6">
        <f t="shared" si="11"/>
        <v>0</v>
      </c>
      <c r="AI31" s="6">
        <f t="shared" si="12"/>
        <v>4867505</v>
      </c>
      <c r="AJ31" s="6">
        <f t="shared" si="13"/>
        <v>4867505</v>
      </c>
      <c r="AL31" s="6">
        <f t="shared" si="14"/>
        <v>827</v>
      </c>
      <c r="AN31" s="6">
        <f t="shared" si="15"/>
        <v>0</v>
      </c>
      <c r="AO31" s="6" t="e">
        <f t="shared" si="16"/>
        <v>#NUM!</v>
      </c>
      <c r="AP31" s="6" t="e">
        <f t="shared" si="17"/>
        <v>#NUM!</v>
      </c>
      <c r="AR31" s="6">
        <f t="shared" si="18"/>
        <v>0</v>
      </c>
      <c r="AS31" s="6" t="e">
        <f t="shared" si="19"/>
        <v>#NUM!</v>
      </c>
      <c r="AT31" s="6" t="e">
        <f t="shared" si="20"/>
        <v>#NUM!</v>
      </c>
      <c r="AV31" s="6">
        <f t="shared" si="21"/>
        <v>0</v>
      </c>
      <c r="AW31" s="6" t="e">
        <f t="shared" si="22"/>
        <v>#NUM!</v>
      </c>
      <c r="AX31" s="6" t="e">
        <f t="shared" si="23"/>
        <v>#NUM!</v>
      </c>
      <c r="AZ31" s="6">
        <f t="shared" si="24"/>
        <v>4867505</v>
      </c>
      <c r="BA31" s="6" t="e">
        <f t="shared" si="25"/>
        <v>#NUM!</v>
      </c>
      <c r="BB31" s="6" t="e">
        <f t="shared" si="26"/>
        <v>#NUM!</v>
      </c>
      <c r="BD31" s="6">
        <f t="shared" si="27"/>
        <v>0</v>
      </c>
      <c r="BE31" s="6">
        <f t="shared" si="28"/>
        <v>0</v>
      </c>
      <c r="BF31" s="6">
        <f t="shared" si="29"/>
        <v>0</v>
      </c>
      <c r="BG31" s="6">
        <f t="shared" si="30"/>
        <v>4867505</v>
      </c>
      <c r="BI31" s="6" t="e">
        <f t="shared" si="31"/>
        <v>#DIV/0!</v>
      </c>
      <c r="BJ31" s="6" t="e">
        <f t="shared" si="32"/>
        <v>#DIV/0!</v>
      </c>
      <c r="BK31" s="6">
        <f t="shared" ca="1" si="33"/>
        <v>0</v>
      </c>
      <c r="BL31" s="6">
        <f t="shared" si="34"/>
        <v>26612387</v>
      </c>
      <c r="BM31" s="6">
        <f t="shared" si="35"/>
        <v>0</v>
      </c>
      <c r="BN31" s="6">
        <f t="shared" si="36"/>
        <v>0</v>
      </c>
      <c r="BO31" s="6">
        <f t="shared" si="37"/>
        <v>0</v>
      </c>
      <c r="BP31" s="11">
        <f t="shared" si="38"/>
        <v>0</v>
      </c>
      <c r="BQ31" s="11">
        <f t="shared" si="39"/>
        <v>0</v>
      </c>
      <c r="BR31" s="11">
        <f t="shared" si="40"/>
        <v>0</v>
      </c>
      <c r="BS31" s="11">
        <f t="shared" ref="BS31:BU31" si="104">+(1-BP31)</f>
        <v>1</v>
      </c>
      <c r="BT31" s="11">
        <f t="shared" si="104"/>
        <v>1</v>
      </c>
      <c r="BU31" s="11">
        <f t="shared" si="104"/>
        <v>1</v>
      </c>
      <c r="BV31" s="19" t="e">
        <f t="shared" ref="BV31:BX31" si="105">ROUND(1/BP31,2)</f>
        <v>#DIV/0!</v>
      </c>
      <c r="BW31" s="19" t="e">
        <f t="shared" si="105"/>
        <v>#DIV/0!</v>
      </c>
      <c r="BX31" s="19" t="e">
        <f t="shared" si="105"/>
        <v>#DIV/0!</v>
      </c>
      <c r="BY31" s="7">
        <f t="shared" si="43"/>
        <v>45616</v>
      </c>
    </row>
    <row r="32" spans="2:77">
      <c r="B32" s="151">
        <f>+Carga!K32</f>
        <v>45646</v>
      </c>
      <c r="C32" s="153">
        <f>+'Calculadora VDFA'!$M$6</f>
        <v>0.61</v>
      </c>
      <c r="E32" s="17">
        <f>Carga!L32</f>
        <v>4825700</v>
      </c>
      <c r="F32" s="17">
        <f t="shared" si="44"/>
        <v>0</v>
      </c>
      <c r="G32" s="18">
        <f>+MAX(Carga!$D$8,MIN(Carga!$F$8,Carga!$E$8+$C32))</f>
        <v>0.61</v>
      </c>
      <c r="H32" s="17">
        <f>F32*G32*Carga!P32/360</f>
        <v>0</v>
      </c>
      <c r="I32" s="155">
        <f t="shared" si="45"/>
        <v>-2.5320332497358322E-9</v>
      </c>
      <c r="J32" s="17">
        <f t="shared" si="46"/>
        <v>0</v>
      </c>
      <c r="K32" s="17">
        <f t="shared" si="47"/>
        <v>0</v>
      </c>
      <c r="L32" s="17">
        <f t="shared" si="0"/>
        <v>0</v>
      </c>
      <c r="N32" s="17">
        <f t="shared" si="1"/>
        <v>4825700</v>
      </c>
      <c r="O32" s="17">
        <f t="shared" si="48"/>
        <v>0</v>
      </c>
      <c r="P32" s="18">
        <f>+MAX(Carga!$D$9,MIN(Carga!$F$9,Carga!$E$9+$C32))</f>
        <v>0.63</v>
      </c>
      <c r="Q32" s="17">
        <f>+O32*P32*Carga!P32/360</f>
        <v>0</v>
      </c>
      <c r="R32" s="17">
        <f t="shared" si="49"/>
        <v>0</v>
      </c>
      <c r="S32" s="17">
        <f t="shared" si="2"/>
        <v>0</v>
      </c>
      <c r="T32" s="17">
        <f t="shared" si="61"/>
        <v>0</v>
      </c>
      <c r="U32" s="17">
        <f t="shared" si="4"/>
        <v>0</v>
      </c>
      <c r="W32" s="17">
        <f t="shared" si="5"/>
        <v>4825700</v>
      </c>
      <c r="X32" s="17">
        <f t="shared" si="50"/>
        <v>0</v>
      </c>
      <c r="Y32" s="18">
        <f>+MAX(Carga!$D$10,MIN(Carga!$F$10,Carga!$E$10+$C32))</f>
        <v>0.61</v>
      </c>
      <c r="Z32" s="17">
        <f t="shared" si="51"/>
        <v>0</v>
      </c>
      <c r="AA32" s="17">
        <f t="shared" si="6"/>
        <v>0</v>
      </c>
      <c r="AB32" s="17">
        <f t="shared" si="7"/>
        <v>0</v>
      </c>
      <c r="AC32" s="17">
        <f t="shared" si="8"/>
        <v>0</v>
      </c>
      <c r="AE32" s="17">
        <f t="shared" si="9"/>
        <v>4825700</v>
      </c>
      <c r="AF32" s="17">
        <f t="shared" si="52"/>
        <v>100</v>
      </c>
      <c r="AG32" s="16" t="b">
        <f t="shared" ref="AG32:AG42" si="106">IF(MAX(AE33:AE$65)&gt;0,FALSE,TRUE)</f>
        <v>0</v>
      </c>
      <c r="AH32" s="17">
        <f t="shared" si="11"/>
        <v>0</v>
      </c>
      <c r="AI32" s="17">
        <f t="shared" si="12"/>
        <v>4825700</v>
      </c>
      <c r="AJ32" s="17">
        <f t="shared" si="13"/>
        <v>4825700</v>
      </c>
      <c r="AL32" s="16">
        <f t="shared" si="14"/>
        <v>857</v>
      </c>
      <c r="AN32" s="17">
        <f t="shared" si="15"/>
        <v>0</v>
      </c>
      <c r="AO32" s="17" t="e">
        <f t="shared" si="16"/>
        <v>#NUM!</v>
      </c>
      <c r="AP32" s="16" t="e">
        <f t="shared" si="17"/>
        <v>#NUM!</v>
      </c>
      <c r="AR32" s="17">
        <f t="shared" si="18"/>
        <v>0</v>
      </c>
      <c r="AS32" s="17" t="e">
        <f t="shared" si="19"/>
        <v>#NUM!</v>
      </c>
      <c r="AT32" s="17" t="e">
        <f t="shared" si="20"/>
        <v>#NUM!</v>
      </c>
      <c r="AV32" s="17">
        <f t="shared" si="21"/>
        <v>0</v>
      </c>
      <c r="AW32" s="17" t="e">
        <f t="shared" si="22"/>
        <v>#NUM!</v>
      </c>
      <c r="AX32" s="17" t="e">
        <f t="shared" si="23"/>
        <v>#NUM!</v>
      </c>
      <c r="AZ32" s="17">
        <f t="shared" si="24"/>
        <v>4825700</v>
      </c>
      <c r="BA32" s="17" t="e">
        <f t="shared" si="25"/>
        <v>#NUM!</v>
      </c>
      <c r="BB32" s="17" t="e">
        <f t="shared" si="26"/>
        <v>#NUM!</v>
      </c>
      <c r="BD32" s="17">
        <f t="shared" si="27"/>
        <v>0</v>
      </c>
      <c r="BE32" s="17">
        <f t="shared" si="28"/>
        <v>0</v>
      </c>
      <c r="BF32" s="17">
        <f t="shared" si="29"/>
        <v>0</v>
      </c>
      <c r="BG32" s="17">
        <f t="shared" si="30"/>
        <v>4825700</v>
      </c>
      <c r="BI32" s="17" t="e">
        <f t="shared" si="31"/>
        <v>#DIV/0!</v>
      </c>
      <c r="BJ32" s="17" t="e">
        <f t="shared" si="32"/>
        <v>#DIV/0!</v>
      </c>
      <c r="BK32" s="17">
        <f t="shared" ca="1" si="33"/>
        <v>0</v>
      </c>
      <c r="BL32" s="17">
        <f t="shared" si="34"/>
        <v>21744882</v>
      </c>
      <c r="BM32" s="17">
        <f t="shared" si="35"/>
        <v>0</v>
      </c>
      <c r="BN32" s="17">
        <f t="shared" si="36"/>
        <v>0</v>
      </c>
      <c r="BO32" s="17">
        <f t="shared" si="37"/>
        <v>0</v>
      </c>
      <c r="BP32" s="18">
        <f t="shared" si="38"/>
        <v>0</v>
      </c>
      <c r="BQ32" s="18">
        <f t="shared" si="39"/>
        <v>0</v>
      </c>
      <c r="BR32" s="18">
        <f t="shared" si="40"/>
        <v>0</v>
      </c>
      <c r="BS32" s="18">
        <f t="shared" ref="BS32:BU32" si="107">+(1-BP32)</f>
        <v>1</v>
      </c>
      <c r="BT32" s="18">
        <f t="shared" si="107"/>
        <v>1</v>
      </c>
      <c r="BU32" s="18">
        <f t="shared" si="107"/>
        <v>1</v>
      </c>
      <c r="BV32" s="20" t="e">
        <f t="shared" ref="BV32:BX32" si="108">ROUND(1/BP32,2)</f>
        <v>#DIV/0!</v>
      </c>
      <c r="BW32" s="20" t="e">
        <f t="shared" si="108"/>
        <v>#DIV/0!</v>
      </c>
      <c r="BX32" s="20" t="e">
        <f t="shared" si="108"/>
        <v>#DIV/0!</v>
      </c>
      <c r="BY32" s="15">
        <f t="shared" si="43"/>
        <v>45646</v>
      </c>
    </row>
    <row r="33" spans="2:77">
      <c r="B33" s="151">
        <f>+Carga!K33</f>
        <v>45677</v>
      </c>
      <c r="C33" s="152">
        <f>+'Calculadora VDFA'!$M$6</f>
        <v>0.61</v>
      </c>
      <c r="E33" s="6">
        <f>Carga!L33</f>
        <v>4741228</v>
      </c>
      <c r="F33" s="6">
        <f t="shared" si="44"/>
        <v>0</v>
      </c>
      <c r="G33" s="11">
        <f>+MAX(Carga!$D$8,MIN(Carga!$F$8,Carga!$E$8+$C33))</f>
        <v>0.61</v>
      </c>
      <c r="H33" s="6">
        <f>F33*G33*Carga!P33/360</f>
        <v>0</v>
      </c>
      <c r="I33" s="154">
        <f t="shared" si="45"/>
        <v>-2.5320332497358322E-9</v>
      </c>
      <c r="J33" s="6">
        <f t="shared" si="46"/>
        <v>0</v>
      </c>
      <c r="K33" s="6">
        <f t="shared" si="47"/>
        <v>0</v>
      </c>
      <c r="L33" s="6">
        <f t="shared" si="0"/>
        <v>0</v>
      </c>
      <c r="N33" s="6">
        <f t="shared" si="1"/>
        <v>4741228</v>
      </c>
      <c r="O33" s="6">
        <f t="shared" si="48"/>
        <v>0</v>
      </c>
      <c r="P33" s="11">
        <f>+MAX(Carga!$D$9,MIN(Carga!$F$9,Carga!$E$9+$C33))</f>
        <v>0.63</v>
      </c>
      <c r="Q33" s="6">
        <f>+O33*P33*Carga!P33/360</f>
        <v>0</v>
      </c>
      <c r="R33" s="6">
        <f t="shared" si="49"/>
        <v>0</v>
      </c>
      <c r="S33" s="6">
        <f t="shared" si="2"/>
        <v>0</v>
      </c>
      <c r="T33" s="6">
        <f t="shared" si="61"/>
        <v>0</v>
      </c>
      <c r="U33" s="6">
        <f t="shared" si="4"/>
        <v>0</v>
      </c>
      <c r="W33" s="6">
        <f t="shared" si="5"/>
        <v>4741228</v>
      </c>
      <c r="X33" s="6">
        <f t="shared" si="50"/>
        <v>0</v>
      </c>
      <c r="Y33" s="11">
        <f>+MAX(Carga!$D$10,MIN(Carga!$F$10,Carga!$E$10+$C33))</f>
        <v>0.61</v>
      </c>
      <c r="Z33" s="6">
        <f t="shared" si="51"/>
        <v>0</v>
      </c>
      <c r="AA33" s="6">
        <f t="shared" si="6"/>
        <v>0</v>
      </c>
      <c r="AB33" s="6">
        <f t="shared" si="7"/>
        <v>0</v>
      </c>
      <c r="AC33" s="6">
        <f t="shared" si="8"/>
        <v>0</v>
      </c>
      <c r="AE33" s="6">
        <f t="shared" si="9"/>
        <v>4741228</v>
      </c>
      <c r="AF33" s="6">
        <f t="shared" si="52"/>
        <v>100</v>
      </c>
      <c r="AG33" s="11" t="b">
        <f t="shared" si="106"/>
        <v>0</v>
      </c>
      <c r="AH33" s="6">
        <f t="shared" si="11"/>
        <v>0</v>
      </c>
      <c r="AI33" s="6">
        <f t="shared" si="12"/>
        <v>4741228</v>
      </c>
      <c r="AJ33" s="6">
        <f t="shared" si="13"/>
        <v>4741228</v>
      </c>
      <c r="AL33" s="6">
        <f t="shared" si="14"/>
        <v>888</v>
      </c>
      <c r="AN33" s="6">
        <f t="shared" si="15"/>
        <v>0</v>
      </c>
      <c r="AO33" s="6" t="e">
        <f t="shared" si="16"/>
        <v>#NUM!</v>
      </c>
      <c r="AP33" s="6" t="e">
        <f t="shared" si="17"/>
        <v>#NUM!</v>
      </c>
      <c r="AR33" s="6">
        <f t="shared" si="18"/>
        <v>0</v>
      </c>
      <c r="AS33" s="6" t="e">
        <f t="shared" si="19"/>
        <v>#NUM!</v>
      </c>
      <c r="AT33" s="6" t="e">
        <f t="shared" si="20"/>
        <v>#NUM!</v>
      </c>
      <c r="AV33" s="6">
        <f t="shared" si="21"/>
        <v>0</v>
      </c>
      <c r="AW33" s="6" t="e">
        <f t="shared" si="22"/>
        <v>#NUM!</v>
      </c>
      <c r="AX33" s="6" t="e">
        <f t="shared" si="23"/>
        <v>#NUM!</v>
      </c>
      <c r="AZ33" s="6">
        <f t="shared" si="24"/>
        <v>4741228</v>
      </c>
      <c r="BA33" s="6" t="e">
        <f t="shared" si="25"/>
        <v>#NUM!</v>
      </c>
      <c r="BB33" s="6" t="e">
        <f t="shared" si="26"/>
        <v>#NUM!</v>
      </c>
      <c r="BD33" s="6">
        <f t="shared" si="27"/>
        <v>0</v>
      </c>
      <c r="BE33" s="6">
        <f t="shared" si="28"/>
        <v>0</v>
      </c>
      <c r="BF33" s="6">
        <f t="shared" si="29"/>
        <v>0</v>
      </c>
      <c r="BG33" s="6">
        <f t="shared" si="30"/>
        <v>4741228</v>
      </c>
      <c r="BI33" s="6" t="e">
        <f t="shared" si="31"/>
        <v>#DIV/0!</v>
      </c>
      <c r="BJ33" s="6" t="e">
        <f t="shared" si="32"/>
        <v>#DIV/0!</v>
      </c>
      <c r="BK33" s="6">
        <f t="shared" ca="1" si="33"/>
        <v>0</v>
      </c>
      <c r="BL33" s="6">
        <f t="shared" si="34"/>
        <v>16919182</v>
      </c>
      <c r="BM33" s="6">
        <f t="shared" si="35"/>
        <v>0</v>
      </c>
      <c r="BN33" s="6">
        <f t="shared" si="36"/>
        <v>0</v>
      </c>
      <c r="BO33" s="6">
        <f t="shared" si="37"/>
        <v>0</v>
      </c>
      <c r="BP33" s="11">
        <f t="shared" si="38"/>
        <v>0</v>
      </c>
      <c r="BQ33" s="11">
        <f t="shared" si="39"/>
        <v>0</v>
      </c>
      <c r="BR33" s="11">
        <f t="shared" si="40"/>
        <v>0</v>
      </c>
      <c r="BS33" s="11">
        <f t="shared" ref="BS33:BU33" si="109">+(1-BP33)</f>
        <v>1</v>
      </c>
      <c r="BT33" s="11">
        <f t="shared" si="109"/>
        <v>1</v>
      </c>
      <c r="BU33" s="11">
        <f t="shared" si="109"/>
        <v>1</v>
      </c>
      <c r="BV33" s="19" t="e">
        <f t="shared" ref="BV33:BX33" si="110">ROUND(1/BP33,2)</f>
        <v>#DIV/0!</v>
      </c>
      <c r="BW33" s="19" t="e">
        <f t="shared" si="110"/>
        <v>#DIV/0!</v>
      </c>
      <c r="BX33" s="19" t="e">
        <f t="shared" si="110"/>
        <v>#DIV/0!</v>
      </c>
      <c r="BY33" s="7">
        <f t="shared" si="43"/>
        <v>45677</v>
      </c>
    </row>
    <row r="34" spans="2:77">
      <c r="B34" s="151">
        <f>+Carga!K34</f>
        <v>45708</v>
      </c>
      <c r="C34" s="153">
        <f>+'Calculadora VDFA'!$M$6</f>
        <v>0.61</v>
      </c>
      <c r="E34" s="17">
        <f>Carga!L34</f>
        <v>4045023</v>
      </c>
      <c r="F34" s="17">
        <f t="shared" si="44"/>
        <v>0</v>
      </c>
      <c r="G34" s="18">
        <f>+MAX(Carga!$D$8,MIN(Carga!$F$8,Carga!$E$8+$C34))</f>
        <v>0.61</v>
      </c>
      <c r="H34" s="17">
        <f>F34*G34*Carga!P34/360</f>
        <v>0</v>
      </c>
      <c r="I34" s="155">
        <f t="shared" si="45"/>
        <v>-2.5320332497358322E-9</v>
      </c>
      <c r="J34" s="17">
        <f t="shared" si="46"/>
        <v>0</v>
      </c>
      <c r="K34" s="17">
        <f t="shared" si="47"/>
        <v>0</v>
      </c>
      <c r="L34" s="17">
        <f t="shared" si="0"/>
        <v>0</v>
      </c>
      <c r="N34" s="17">
        <f t="shared" si="1"/>
        <v>4045023</v>
      </c>
      <c r="O34" s="17">
        <f t="shared" si="48"/>
        <v>0</v>
      </c>
      <c r="P34" s="18">
        <f>+MAX(Carga!$D$9,MIN(Carga!$F$9,Carga!$E$9+$C34))</f>
        <v>0.63</v>
      </c>
      <c r="Q34" s="17">
        <f>+O34*P34*Carga!P34/360</f>
        <v>0</v>
      </c>
      <c r="R34" s="17">
        <f t="shared" si="49"/>
        <v>0</v>
      </c>
      <c r="S34" s="17">
        <f t="shared" si="2"/>
        <v>0</v>
      </c>
      <c r="T34" s="17">
        <f t="shared" si="61"/>
        <v>0</v>
      </c>
      <c r="U34" s="17">
        <f t="shared" si="4"/>
        <v>0</v>
      </c>
      <c r="W34" s="17">
        <f t="shared" si="5"/>
        <v>4045023</v>
      </c>
      <c r="X34" s="17">
        <f t="shared" si="50"/>
        <v>0</v>
      </c>
      <c r="Y34" s="18">
        <f>+MAX(Carga!$D$10,MIN(Carga!$F$10,Carga!$E$10+$C34))</f>
        <v>0.61</v>
      </c>
      <c r="Z34" s="17">
        <f t="shared" si="51"/>
        <v>0</v>
      </c>
      <c r="AA34" s="17">
        <f t="shared" si="6"/>
        <v>0</v>
      </c>
      <c r="AB34" s="17">
        <f t="shared" si="7"/>
        <v>0</v>
      </c>
      <c r="AC34" s="17">
        <f t="shared" si="8"/>
        <v>0</v>
      </c>
      <c r="AE34" s="17">
        <f t="shared" si="9"/>
        <v>4045023</v>
      </c>
      <c r="AF34" s="17">
        <f t="shared" si="52"/>
        <v>100</v>
      </c>
      <c r="AG34" s="16" t="b">
        <f t="shared" si="106"/>
        <v>0</v>
      </c>
      <c r="AH34" s="17">
        <f t="shared" si="11"/>
        <v>0</v>
      </c>
      <c r="AI34" s="17">
        <f t="shared" si="12"/>
        <v>4045023</v>
      </c>
      <c r="AJ34" s="17">
        <f t="shared" si="13"/>
        <v>4045023</v>
      </c>
      <c r="AL34" s="16">
        <f t="shared" si="14"/>
        <v>919</v>
      </c>
      <c r="AN34" s="17">
        <f t="shared" si="15"/>
        <v>0</v>
      </c>
      <c r="AO34" s="17" t="e">
        <f t="shared" si="16"/>
        <v>#NUM!</v>
      </c>
      <c r="AP34" s="16" t="e">
        <f t="shared" si="17"/>
        <v>#NUM!</v>
      </c>
      <c r="AR34" s="17">
        <f t="shared" si="18"/>
        <v>0</v>
      </c>
      <c r="AS34" s="17" t="e">
        <f t="shared" si="19"/>
        <v>#NUM!</v>
      </c>
      <c r="AT34" s="17" t="e">
        <f t="shared" si="20"/>
        <v>#NUM!</v>
      </c>
      <c r="AV34" s="17">
        <f t="shared" si="21"/>
        <v>0</v>
      </c>
      <c r="AW34" s="17" t="e">
        <f t="shared" si="22"/>
        <v>#NUM!</v>
      </c>
      <c r="AX34" s="17" t="e">
        <f t="shared" si="23"/>
        <v>#NUM!</v>
      </c>
      <c r="AZ34" s="17">
        <f t="shared" si="24"/>
        <v>4045023</v>
      </c>
      <c r="BA34" s="17" t="e">
        <f t="shared" si="25"/>
        <v>#NUM!</v>
      </c>
      <c r="BB34" s="17" t="e">
        <f t="shared" si="26"/>
        <v>#NUM!</v>
      </c>
      <c r="BD34" s="17">
        <f t="shared" si="27"/>
        <v>0</v>
      </c>
      <c r="BE34" s="17">
        <f t="shared" si="28"/>
        <v>0</v>
      </c>
      <c r="BF34" s="17">
        <f t="shared" si="29"/>
        <v>0</v>
      </c>
      <c r="BG34" s="17">
        <f t="shared" si="30"/>
        <v>4045023</v>
      </c>
      <c r="BI34" s="17" t="e">
        <f t="shared" si="31"/>
        <v>#DIV/0!</v>
      </c>
      <c r="BJ34" s="17" t="e">
        <f t="shared" si="32"/>
        <v>#DIV/0!</v>
      </c>
      <c r="BK34" s="17">
        <f t="shared" ca="1" si="33"/>
        <v>0</v>
      </c>
      <c r="BL34" s="17">
        <f t="shared" si="34"/>
        <v>12177954</v>
      </c>
      <c r="BM34" s="17">
        <f t="shared" si="35"/>
        <v>0</v>
      </c>
      <c r="BN34" s="17">
        <f t="shared" si="36"/>
        <v>0</v>
      </c>
      <c r="BO34" s="17">
        <f t="shared" si="37"/>
        <v>0</v>
      </c>
      <c r="BP34" s="18">
        <f t="shared" si="38"/>
        <v>0</v>
      </c>
      <c r="BQ34" s="18">
        <f t="shared" si="39"/>
        <v>0</v>
      </c>
      <c r="BR34" s="18">
        <f t="shared" si="40"/>
        <v>0</v>
      </c>
      <c r="BS34" s="18">
        <f t="shared" ref="BS34:BU34" si="111">+(1-BP34)</f>
        <v>1</v>
      </c>
      <c r="BT34" s="18">
        <f t="shared" si="111"/>
        <v>1</v>
      </c>
      <c r="BU34" s="18">
        <f t="shared" si="111"/>
        <v>1</v>
      </c>
      <c r="BV34" s="20" t="e">
        <f t="shared" ref="BV34:BX34" si="112">ROUND(1/BP34,2)</f>
        <v>#DIV/0!</v>
      </c>
      <c r="BW34" s="20" t="e">
        <f t="shared" si="112"/>
        <v>#DIV/0!</v>
      </c>
      <c r="BX34" s="20" t="e">
        <f t="shared" si="112"/>
        <v>#DIV/0!</v>
      </c>
      <c r="BY34" s="15">
        <f t="shared" si="43"/>
        <v>45708</v>
      </c>
    </row>
    <row r="35" spans="2:77">
      <c r="B35" s="151">
        <f>+Carga!K35</f>
        <v>45736</v>
      </c>
      <c r="C35" s="152">
        <f>+'Calculadora VDFA'!$M$6</f>
        <v>0.61</v>
      </c>
      <c r="E35" s="6">
        <f>Carga!L35</f>
        <v>3123474</v>
      </c>
      <c r="F35" s="6">
        <f t="shared" si="44"/>
        <v>0</v>
      </c>
      <c r="G35" s="11">
        <f>+MAX(Carga!$D$8,MIN(Carga!$F$8,Carga!$E$8+$C35))</f>
        <v>0.61</v>
      </c>
      <c r="H35" s="6">
        <f>F35*G35*Carga!P35/360</f>
        <v>0</v>
      </c>
      <c r="I35" s="154">
        <f t="shared" si="45"/>
        <v>-2.5320332497358322E-9</v>
      </c>
      <c r="J35" s="6">
        <f t="shared" si="46"/>
        <v>0</v>
      </c>
      <c r="K35" s="6">
        <f t="shared" si="47"/>
        <v>0</v>
      </c>
      <c r="L35" s="6">
        <f t="shared" si="0"/>
        <v>0</v>
      </c>
      <c r="N35" s="6">
        <f t="shared" si="1"/>
        <v>3123474</v>
      </c>
      <c r="O35" s="6">
        <f t="shared" si="48"/>
        <v>0</v>
      </c>
      <c r="P35" s="11">
        <f>+MAX(Carga!$D$9,MIN(Carga!$F$9,Carga!$E$9+$C35))</f>
        <v>0.63</v>
      </c>
      <c r="Q35" s="6">
        <f>+O35*P35*Carga!P35/360</f>
        <v>0</v>
      </c>
      <c r="R35" s="6">
        <f t="shared" si="49"/>
        <v>0</v>
      </c>
      <c r="S35" s="6">
        <f t="shared" si="2"/>
        <v>0</v>
      </c>
      <c r="T35" s="6">
        <f t="shared" si="61"/>
        <v>0</v>
      </c>
      <c r="U35" s="6">
        <f t="shared" si="4"/>
        <v>0</v>
      </c>
      <c r="W35" s="6">
        <f t="shared" si="5"/>
        <v>3123474</v>
      </c>
      <c r="X35" s="6">
        <f t="shared" si="50"/>
        <v>0</v>
      </c>
      <c r="Y35" s="11">
        <f>+MAX(Carga!$D$10,MIN(Carga!$F$10,Carga!$E$10+$C35))</f>
        <v>0.61</v>
      </c>
      <c r="Z35" s="6">
        <f t="shared" si="51"/>
        <v>0</v>
      </c>
      <c r="AA35" s="6">
        <f t="shared" si="6"/>
        <v>0</v>
      </c>
      <c r="AB35" s="6">
        <f t="shared" si="7"/>
        <v>0</v>
      </c>
      <c r="AC35" s="6">
        <f t="shared" si="8"/>
        <v>0</v>
      </c>
      <c r="AE35" s="6">
        <f t="shared" si="9"/>
        <v>3123474</v>
      </c>
      <c r="AF35" s="6">
        <f t="shared" si="52"/>
        <v>100</v>
      </c>
      <c r="AG35" s="11" t="b">
        <f t="shared" si="106"/>
        <v>0</v>
      </c>
      <c r="AH35" s="6">
        <f t="shared" si="11"/>
        <v>0</v>
      </c>
      <c r="AI35" s="6">
        <f t="shared" si="12"/>
        <v>3123474</v>
      </c>
      <c r="AJ35" s="6">
        <f t="shared" si="13"/>
        <v>3123474</v>
      </c>
      <c r="AL35" s="6">
        <f t="shared" si="14"/>
        <v>947</v>
      </c>
      <c r="AN35" s="6">
        <f t="shared" si="15"/>
        <v>0</v>
      </c>
      <c r="AO35" s="6" t="e">
        <f t="shared" si="16"/>
        <v>#NUM!</v>
      </c>
      <c r="AP35" s="6" t="e">
        <f t="shared" si="17"/>
        <v>#NUM!</v>
      </c>
      <c r="AR35" s="6">
        <f t="shared" si="18"/>
        <v>0</v>
      </c>
      <c r="AS35" s="6" t="e">
        <f t="shared" si="19"/>
        <v>#NUM!</v>
      </c>
      <c r="AT35" s="6" t="e">
        <f t="shared" si="20"/>
        <v>#NUM!</v>
      </c>
      <c r="AV35" s="6">
        <f t="shared" si="21"/>
        <v>0</v>
      </c>
      <c r="AW35" s="6" t="e">
        <f t="shared" si="22"/>
        <v>#NUM!</v>
      </c>
      <c r="AX35" s="6" t="e">
        <f t="shared" si="23"/>
        <v>#NUM!</v>
      </c>
      <c r="AZ35" s="6">
        <f t="shared" si="24"/>
        <v>3123474</v>
      </c>
      <c r="BA35" s="6" t="e">
        <f t="shared" si="25"/>
        <v>#NUM!</v>
      </c>
      <c r="BB35" s="6" t="e">
        <f t="shared" si="26"/>
        <v>#NUM!</v>
      </c>
      <c r="BD35" s="6">
        <f t="shared" si="27"/>
        <v>0</v>
      </c>
      <c r="BE35" s="6">
        <f t="shared" si="28"/>
        <v>0</v>
      </c>
      <c r="BF35" s="6">
        <f t="shared" si="29"/>
        <v>0</v>
      </c>
      <c r="BG35" s="6">
        <f t="shared" si="30"/>
        <v>3123474</v>
      </c>
      <c r="BI35" s="6" t="e">
        <f t="shared" si="31"/>
        <v>#DIV/0!</v>
      </c>
      <c r="BJ35" s="6" t="e">
        <f t="shared" si="32"/>
        <v>#DIV/0!</v>
      </c>
      <c r="BK35" s="6">
        <f t="shared" ca="1" si="33"/>
        <v>0</v>
      </c>
      <c r="BL35" s="6">
        <f t="shared" si="34"/>
        <v>8132931</v>
      </c>
      <c r="BM35" s="6">
        <f t="shared" si="35"/>
        <v>0</v>
      </c>
      <c r="BN35" s="6">
        <f t="shared" si="36"/>
        <v>0</v>
      </c>
      <c r="BO35" s="6">
        <f t="shared" si="37"/>
        <v>0</v>
      </c>
      <c r="BP35" s="11">
        <f t="shared" si="38"/>
        <v>0</v>
      </c>
      <c r="BQ35" s="11">
        <f t="shared" si="39"/>
        <v>0</v>
      </c>
      <c r="BR35" s="11">
        <f t="shared" si="40"/>
        <v>0</v>
      </c>
      <c r="BS35" s="11">
        <f t="shared" ref="BS35:BU35" si="113">+(1-BP35)</f>
        <v>1</v>
      </c>
      <c r="BT35" s="11">
        <f t="shared" si="113"/>
        <v>1</v>
      </c>
      <c r="BU35" s="11">
        <f t="shared" si="113"/>
        <v>1</v>
      </c>
      <c r="BV35" s="19" t="e">
        <f t="shared" ref="BV35:BX35" si="114">ROUND(1/BP35,2)</f>
        <v>#DIV/0!</v>
      </c>
      <c r="BW35" s="19" t="e">
        <f t="shared" si="114"/>
        <v>#DIV/0!</v>
      </c>
      <c r="BX35" s="19" t="e">
        <f t="shared" si="114"/>
        <v>#DIV/0!</v>
      </c>
      <c r="BY35" s="7">
        <f t="shared" si="43"/>
        <v>45736</v>
      </c>
    </row>
    <row r="36" spans="2:77">
      <c r="B36" s="151">
        <f>+Carga!K36</f>
        <v>45768</v>
      </c>
      <c r="C36" s="153">
        <f>+'Calculadora VDFA'!$M$6</f>
        <v>0.61</v>
      </c>
      <c r="E36" s="17">
        <f>Carga!L36</f>
        <v>2323480</v>
      </c>
      <c r="F36" s="17">
        <f t="shared" si="44"/>
        <v>0</v>
      </c>
      <c r="G36" s="18">
        <f>+MAX(Carga!$D$8,MIN(Carga!$F$8,Carga!$E$8+$C36))</f>
        <v>0.61</v>
      </c>
      <c r="H36" s="17">
        <f>F36*G36*Carga!P36/360</f>
        <v>0</v>
      </c>
      <c r="I36" s="155">
        <f t="shared" si="45"/>
        <v>-2.5320332497358322E-9</v>
      </c>
      <c r="J36" s="17">
        <f t="shared" si="46"/>
        <v>0</v>
      </c>
      <c r="K36" s="17">
        <f t="shared" si="47"/>
        <v>0</v>
      </c>
      <c r="L36" s="17">
        <f t="shared" si="0"/>
        <v>0</v>
      </c>
      <c r="N36" s="17">
        <f t="shared" si="1"/>
        <v>2323480</v>
      </c>
      <c r="O36" s="17">
        <f t="shared" si="48"/>
        <v>0</v>
      </c>
      <c r="P36" s="18">
        <f>+MAX(Carga!$D$9,MIN(Carga!$F$9,Carga!$E$9+$C36))</f>
        <v>0.63</v>
      </c>
      <c r="Q36" s="17">
        <f>+O36*P36*Carga!P36/360</f>
        <v>0</v>
      </c>
      <c r="R36" s="17">
        <f t="shared" si="49"/>
        <v>0</v>
      </c>
      <c r="S36" s="17">
        <f t="shared" si="2"/>
        <v>0</v>
      </c>
      <c r="T36" s="17">
        <f t="shared" si="61"/>
        <v>0</v>
      </c>
      <c r="U36" s="17">
        <f t="shared" si="4"/>
        <v>0</v>
      </c>
      <c r="W36" s="17">
        <f t="shared" si="5"/>
        <v>2323480</v>
      </c>
      <c r="X36" s="17">
        <f t="shared" si="50"/>
        <v>0</v>
      </c>
      <c r="Y36" s="18">
        <f>+MAX(Carga!$D$10,MIN(Carga!$F$10,Carga!$E$10+$C36))</f>
        <v>0.61</v>
      </c>
      <c r="Z36" s="17">
        <f t="shared" si="51"/>
        <v>0</v>
      </c>
      <c r="AA36" s="17">
        <f t="shared" si="6"/>
        <v>0</v>
      </c>
      <c r="AB36" s="17">
        <f t="shared" si="7"/>
        <v>0</v>
      </c>
      <c r="AC36" s="17">
        <f t="shared" si="8"/>
        <v>0</v>
      </c>
      <c r="AE36" s="17">
        <f t="shared" si="9"/>
        <v>2323480</v>
      </c>
      <c r="AF36" s="17">
        <f t="shared" si="52"/>
        <v>100</v>
      </c>
      <c r="AG36" s="16" t="b">
        <f t="shared" si="106"/>
        <v>0</v>
      </c>
      <c r="AH36" s="17">
        <f t="shared" si="11"/>
        <v>0</v>
      </c>
      <c r="AI36" s="17">
        <f t="shared" si="12"/>
        <v>2323480</v>
      </c>
      <c r="AJ36" s="17">
        <f t="shared" si="13"/>
        <v>2323480</v>
      </c>
      <c r="AL36" s="16">
        <f t="shared" si="14"/>
        <v>979</v>
      </c>
      <c r="AN36" s="17">
        <f t="shared" si="15"/>
        <v>0</v>
      </c>
      <c r="AO36" s="17" t="e">
        <f t="shared" si="16"/>
        <v>#NUM!</v>
      </c>
      <c r="AP36" s="16" t="e">
        <f t="shared" si="17"/>
        <v>#NUM!</v>
      </c>
      <c r="AR36" s="17">
        <f t="shared" si="18"/>
        <v>0</v>
      </c>
      <c r="AS36" s="17" t="e">
        <f t="shared" si="19"/>
        <v>#NUM!</v>
      </c>
      <c r="AT36" s="17" t="e">
        <f t="shared" si="20"/>
        <v>#NUM!</v>
      </c>
      <c r="AV36" s="17">
        <f t="shared" si="21"/>
        <v>0</v>
      </c>
      <c r="AW36" s="17" t="e">
        <f t="shared" si="22"/>
        <v>#NUM!</v>
      </c>
      <c r="AX36" s="17" t="e">
        <f t="shared" si="23"/>
        <v>#NUM!</v>
      </c>
      <c r="AZ36" s="17">
        <f t="shared" si="24"/>
        <v>2323480</v>
      </c>
      <c r="BA36" s="17" t="e">
        <f t="shared" si="25"/>
        <v>#NUM!</v>
      </c>
      <c r="BB36" s="17" t="e">
        <f t="shared" si="26"/>
        <v>#NUM!</v>
      </c>
      <c r="BD36" s="17">
        <f t="shared" si="27"/>
        <v>0</v>
      </c>
      <c r="BE36" s="17">
        <f t="shared" si="28"/>
        <v>0</v>
      </c>
      <c r="BF36" s="17">
        <f t="shared" si="29"/>
        <v>0</v>
      </c>
      <c r="BG36" s="17">
        <f t="shared" si="30"/>
        <v>2323480</v>
      </c>
      <c r="BI36" s="17" t="e">
        <f t="shared" si="31"/>
        <v>#DIV/0!</v>
      </c>
      <c r="BJ36" s="17" t="e">
        <f t="shared" si="32"/>
        <v>#DIV/0!</v>
      </c>
      <c r="BK36" s="17">
        <f t="shared" ca="1" si="33"/>
        <v>0</v>
      </c>
      <c r="BL36" s="17">
        <f t="shared" si="34"/>
        <v>5009457</v>
      </c>
      <c r="BM36" s="17">
        <f t="shared" si="35"/>
        <v>0</v>
      </c>
      <c r="BN36" s="17">
        <f t="shared" si="36"/>
        <v>0</v>
      </c>
      <c r="BO36" s="17">
        <f t="shared" si="37"/>
        <v>0</v>
      </c>
      <c r="BP36" s="18">
        <f t="shared" si="38"/>
        <v>0</v>
      </c>
      <c r="BQ36" s="18">
        <f t="shared" si="39"/>
        <v>0</v>
      </c>
      <c r="BR36" s="18">
        <f t="shared" si="40"/>
        <v>0</v>
      </c>
      <c r="BS36" s="18">
        <f t="shared" ref="BS36:BU36" si="115">+(1-BP36)</f>
        <v>1</v>
      </c>
      <c r="BT36" s="18">
        <f t="shared" si="115"/>
        <v>1</v>
      </c>
      <c r="BU36" s="18">
        <f t="shared" si="115"/>
        <v>1</v>
      </c>
      <c r="BV36" s="20" t="e">
        <f t="shared" ref="BV36:BX36" si="116">ROUND(1/BP36,2)</f>
        <v>#DIV/0!</v>
      </c>
      <c r="BW36" s="20" t="e">
        <f t="shared" si="116"/>
        <v>#DIV/0!</v>
      </c>
      <c r="BX36" s="20" t="e">
        <f t="shared" si="116"/>
        <v>#DIV/0!</v>
      </c>
      <c r="BY36" s="15">
        <f t="shared" si="43"/>
        <v>45768</v>
      </c>
    </row>
    <row r="37" spans="2:77">
      <c r="B37" s="151">
        <f>+Carga!K37</f>
        <v>45797</v>
      </c>
      <c r="C37" s="152">
        <f>+'Calculadora VDFA'!$M$6</f>
        <v>0.61</v>
      </c>
      <c r="E37" s="6">
        <f>Carga!L37</f>
        <v>1388268</v>
      </c>
      <c r="F37" s="6">
        <f t="shared" si="44"/>
        <v>0</v>
      </c>
      <c r="G37" s="11">
        <f>+MAX(Carga!$D$8,MIN(Carga!$F$8,Carga!$E$8+$C37))</f>
        <v>0.61</v>
      </c>
      <c r="H37" s="6">
        <f>F37*G37*Carga!P37/360</f>
        <v>0</v>
      </c>
      <c r="I37" s="154">
        <f t="shared" si="45"/>
        <v>-2.5320332497358322E-9</v>
      </c>
      <c r="J37" s="6">
        <f t="shared" si="46"/>
        <v>0</v>
      </c>
      <c r="K37" s="6">
        <f t="shared" si="47"/>
        <v>0</v>
      </c>
      <c r="L37" s="6">
        <f t="shared" si="0"/>
        <v>0</v>
      </c>
      <c r="N37" s="6">
        <f t="shared" si="1"/>
        <v>1388268</v>
      </c>
      <c r="O37" s="6">
        <f t="shared" si="48"/>
        <v>0</v>
      </c>
      <c r="P37" s="11">
        <f>+MAX(Carga!$D$9,MIN(Carga!$F$9,Carga!$E$9+$C37))</f>
        <v>0.63</v>
      </c>
      <c r="Q37" s="6">
        <f>+O37*P37*Carga!P37/360</f>
        <v>0</v>
      </c>
      <c r="R37" s="6">
        <f t="shared" si="49"/>
        <v>0</v>
      </c>
      <c r="S37" s="6">
        <f t="shared" ref="S37:S65" si="117">MIN(N37-T37,O37)</f>
        <v>0</v>
      </c>
      <c r="T37" s="6">
        <f t="shared" si="61"/>
        <v>0</v>
      </c>
      <c r="U37" s="6">
        <f t="shared" si="4"/>
        <v>0</v>
      </c>
      <c r="W37" s="6">
        <f t="shared" si="5"/>
        <v>1388268</v>
      </c>
      <c r="X37" s="6">
        <f t="shared" si="50"/>
        <v>0</v>
      </c>
      <c r="Y37" s="11">
        <f>+MAX(Carga!$D$10,MIN(Carga!$F$10,Carga!$E$10+$C37))</f>
        <v>0.61</v>
      </c>
      <c r="Z37" s="6">
        <f t="shared" si="51"/>
        <v>0</v>
      </c>
      <c r="AA37" s="6">
        <f t="shared" si="6"/>
        <v>0</v>
      </c>
      <c r="AB37" s="6">
        <f t="shared" si="7"/>
        <v>0</v>
      </c>
      <c r="AC37" s="6">
        <f t="shared" si="8"/>
        <v>0</v>
      </c>
      <c r="AE37" s="6">
        <f t="shared" si="9"/>
        <v>1388268</v>
      </c>
      <c r="AF37" s="6">
        <f t="shared" si="52"/>
        <v>100</v>
      </c>
      <c r="AG37" s="11" t="b">
        <f t="shared" si="106"/>
        <v>0</v>
      </c>
      <c r="AH37" s="6">
        <f t="shared" si="11"/>
        <v>0</v>
      </c>
      <c r="AI37" s="6">
        <f t="shared" si="12"/>
        <v>1388268</v>
      </c>
      <c r="AJ37" s="6">
        <f t="shared" si="13"/>
        <v>1388268</v>
      </c>
      <c r="AL37" s="6">
        <f t="shared" ref="AL37:AL65" si="118">B37-B$4</f>
        <v>1008</v>
      </c>
      <c r="AN37" s="6">
        <f t="shared" si="15"/>
        <v>0</v>
      </c>
      <c r="AO37" s="6" t="e">
        <f t="shared" si="16"/>
        <v>#NUM!</v>
      </c>
      <c r="AP37" s="6" t="e">
        <f t="shared" si="17"/>
        <v>#NUM!</v>
      </c>
      <c r="AR37" s="6">
        <f t="shared" si="18"/>
        <v>0</v>
      </c>
      <c r="AS37" s="6" t="e">
        <f t="shared" si="19"/>
        <v>#NUM!</v>
      </c>
      <c r="AT37" s="6" t="e">
        <f t="shared" si="20"/>
        <v>#NUM!</v>
      </c>
      <c r="AV37" s="6">
        <f t="shared" si="21"/>
        <v>0</v>
      </c>
      <c r="AW37" s="6" t="e">
        <f t="shared" si="22"/>
        <v>#NUM!</v>
      </c>
      <c r="AX37" s="6" t="e">
        <f t="shared" si="23"/>
        <v>#NUM!</v>
      </c>
      <c r="AZ37" s="6">
        <f t="shared" si="24"/>
        <v>1388268</v>
      </c>
      <c r="BA37" s="6" t="e">
        <f t="shared" si="25"/>
        <v>#NUM!</v>
      </c>
      <c r="BB37" s="6" t="e">
        <f t="shared" si="26"/>
        <v>#NUM!</v>
      </c>
      <c r="BD37" s="6">
        <f t="shared" si="27"/>
        <v>0</v>
      </c>
      <c r="BE37" s="6">
        <f t="shared" si="28"/>
        <v>0</v>
      </c>
      <c r="BF37" s="6">
        <f t="shared" si="29"/>
        <v>0</v>
      </c>
      <c r="BG37" s="6">
        <f t="shared" si="30"/>
        <v>1388268</v>
      </c>
      <c r="BI37" s="6" t="e">
        <f t="shared" si="31"/>
        <v>#DIV/0!</v>
      </c>
      <c r="BJ37" s="6" t="e">
        <f t="shared" si="32"/>
        <v>#DIV/0!</v>
      </c>
      <c r="BK37" s="6">
        <f t="shared" ref="BK37:BK65" ca="1" si="119">+IF(AND(TODAY()&gt;B36,TODAY()&lt;=B37),1,0)</f>
        <v>0</v>
      </c>
      <c r="BL37" s="6">
        <f t="shared" si="34"/>
        <v>2685977</v>
      </c>
      <c r="BM37" s="6">
        <f t="shared" si="35"/>
        <v>0</v>
      </c>
      <c r="BN37" s="6">
        <f t="shared" si="36"/>
        <v>0</v>
      </c>
      <c r="BO37" s="6">
        <f t="shared" si="37"/>
        <v>0</v>
      </c>
      <c r="BP37" s="11">
        <f t="shared" si="38"/>
        <v>0</v>
      </c>
      <c r="BQ37" s="11">
        <f t="shared" si="39"/>
        <v>0</v>
      </c>
      <c r="BR37" s="11">
        <f t="shared" si="40"/>
        <v>0</v>
      </c>
      <c r="BS37" s="11">
        <f t="shared" ref="BS37:BU37" si="120">+(1-BP37)</f>
        <v>1</v>
      </c>
      <c r="BT37" s="11">
        <f t="shared" si="120"/>
        <v>1</v>
      </c>
      <c r="BU37" s="11">
        <f t="shared" si="120"/>
        <v>1</v>
      </c>
      <c r="BV37" s="19" t="e">
        <f t="shared" ref="BV37:BX37" si="121">ROUND(1/BP37,2)</f>
        <v>#DIV/0!</v>
      </c>
      <c r="BW37" s="19" t="e">
        <f t="shared" si="121"/>
        <v>#DIV/0!</v>
      </c>
      <c r="BX37" s="19" t="e">
        <f t="shared" si="121"/>
        <v>#DIV/0!</v>
      </c>
      <c r="BY37" s="7">
        <f t="shared" ref="BY37:BY65" si="122">+B37</f>
        <v>45797</v>
      </c>
    </row>
    <row r="38" spans="2:77">
      <c r="B38" s="151">
        <f>+Carga!K38</f>
        <v>45831</v>
      </c>
      <c r="C38" s="153">
        <f>+'Calculadora VDFA'!$M$6</f>
        <v>0.61</v>
      </c>
      <c r="E38" s="17">
        <f>Carga!L38</f>
        <v>845306</v>
      </c>
      <c r="F38" s="17">
        <f t="shared" ref="F38:F65" si="123">SUM(F37,-J37)</f>
        <v>0</v>
      </c>
      <c r="G38" s="18">
        <f>+MAX(Carga!$D$8,MIN(Carga!$F$8,Carga!$E$8+$C38))</f>
        <v>0.61</v>
      </c>
      <c r="H38" s="17">
        <f>F38*G38*Carga!P38/360</f>
        <v>0</v>
      </c>
      <c r="I38" s="155">
        <f t="shared" si="45"/>
        <v>-2.5320332497358322E-9</v>
      </c>
      <c r="J38" s="17">
        <f t="shared" si="46"/>
        <v>0</v>
      </c>
      <c r="K38" s="17">
        <f t="shared" si="47"/>
        <v>0</v>
      </c>
      <c r="L38" s="17">
        <f t="shared" si="0"/>
        <v>0</v>
      </c>
      <c r="N38" s="17">
        <f t="shared" si="1"/>
        <v>845306</v>
      </c>
      <c r="O38" s="17">
        <f t="shared" si="48"/>
        <v>0</v>
      </c>
      <c r="P38" s="18">
        <f>+MAX(Carga!$D$9,MIN(Carga!$F$9,Carga!$E$9+$C38))</f>
        <v>0.63</v>
      </c>
      <c r="Q38" s="17">
        <f>+O38*P38*Carga!P38/360</f>
        <v>0</v>
      </c>
      <c r="R38" s="17">
        <f t="shared" si="49"/>
        <v>0</v>
      </c>
      <c r="S38" s="17">
        <f t="shared" si="117"/>
        <v>0</v>
      </c>
      <c r="T38" s="17">
        <f t="shared" si="61"/>
        <v>0</v>
      </c>
      <c r="U38" s="17">
        <f t="shared" si="4"/>
        <v>0</v>
      </c>
      <c r="W38" s="17">
        <f t="shared" si="5"/>
        <v>845306</v>
      </c>
      <c r="X38" s="17">
        <f t="shared" si="50"/>
        <v>0</v>
      </c>
      <c r="Y38" s="18">
        <f>+MAX(Carga!$D$10,MIN(Carga!$F$10,Carga!$E$10+$C38))</f>
        <v>0.61</v>
      </c>
      <c r="Z38" s="17">
        <f t="shared" si="51"/>
        <v>0</v>
      </c>
      <c r="AA38" s="17">
        <f t="shared" si="6"/>
        <v>0</v>
      </c>
      <c r="AB38" s="17">
        <f t="shared" si="7"/>
        <v>0</v>
      </c>
      <c r="AC38" s="17">
        <f t="shared" si="8"/>
        <v>0</v>
      </c>
      <c r="AE38" s="17">
        <f t="shared" si="9"/>
        <v>845306</v>
      </c>
      <c r="AF38" s="17">
        <f t="shared" si="52"/>
        <v>100</v>
      </c>
      <c r="AG38" s="16" t="b">
        <f t="shared" si="106"/>
        <v>0</v>
      </c>
      <c r="AH38" s="17">
        <f t="shared" si="11"/>
        <v>0</v>
      </c>
      <c r="AI38" s="17">
        <f t="shared" si="12"/>
        <v>845306</v>
      </c>
      <c r="AJ38" s="17">
        <f t="shared" si="13"/>
        <v>845306</v>
      </c>
      <c r="AL38" s="16">
        <f t="shared" si="118"/>
        <v>1042</v>
      </c>
      <c r="AN38" s="17">
        <f t="shared" si="15"/>
        <v>0</v>
      </c>
      <c r="AO38" s="17" t="e">
        <f t="shared" si="16"/>
        <v>#NUM!</v>
      </c>
      <c r="AP38" s="16" t="e">
        <f t="shared" si="17"/>
        <v>#NUM!</v>
      </c>
      <c r="AR38" s="17">
        <f t="shared" si="18"/>
        <v>0</v>
      </c>
      <c r="AS38" s="17" t="e">
        <f t="shared" si="19"/>
        <v>#NUM!</v>
      </c>
      <c r="AT38" s="17" t="e">
        <f t="shared" si="20"/>
        <v>#NUM!</v>
      </c>
      <c r="AV38" s="17">
        <f t="shared" si="21"/>
        <v>0</v>
      </c>
      <c r="AW38" s="17" t="e">
        <f t="shared" si="22"/>
        <v>#NUM!</v>
      </c>
      <c r="AX38" s="17" t="e">
        <f t="shared" si="23"/>
        <v>#NUM!</v>
      </c>
      <c r="AZ38" s="17">
        <f t="shared" si="24"/>
        <v>845306</v>
      </c>
      <c r="BA38" s="17" t="e">
        <f t="shared" si="25"/>
        <v>#NUM!</v>
      </c>
      <c r="BB38" s="17" t="e">
        <f t="shared" si="26"/>
        <v>#NUM!</v>
      </c>
      <c r="BD38" s="17">
        <f t="shared" si="27"/>
        <v>0</v>
      </c>
      <c r="BE38" s="17">
        <f t="shared" si="28"/>
        <v>0</v>
      </c>
      <c r="BF38" s="17">
        <f t="shared" si="29"/>
        <v>0</v>
      </c>
      <c r="BG38" s="17">
        <f t="shared" si="30"/>
        <v>845306</v>
      </c>
      <c r="BI38" s="17" t="e">
        <f t="shared" si="31"/>
        <v>#DIV/0!</v>
      </c>
      <c r="BJ38" s="17" t="e">
        <f t="shared" si="32"/>
        <v>#DIV/0!</v>
      </c>
      <c r="BK38" s="17">
        <f t="shared" ca="1" si="119"/>
        <v>0</v>
      </c>
      <c r="BL38" s="17">
        <f t="shared" si="34"/>
        <v>1297709</v>
      </c>
      <c r="BM38" s="17">
        <f t="shared" si="35"/>
        <v>0</v>
      </c>
      <c r="BN38" s="17">
        <f t="shared" si="36"/>
        <v>0</v>
      </c>
      <c r="BO38" s="17">
        <f t="shared" si="37"/>
        <v>0</v>
      </c>
      <c r="BP38" s="18">
        <f t="shared" si="38"/>
        <v>0</v>
      </c>
      <c r="BQ38" s="18">
        <f t="shared" si="39"/>
        <v>0</v>
      </c>
      <c r="BR38" s="18">
        <f t="shared" si="40"/>
        <v>0</v>
      </c>
      <c r="BS38" s="18">
        <f t="shared" ref="BS38:BU38" si="124">+(1-BP38)</f>
        <v>1</v>
      </c>
      <c r="BT38" s="18">
        <f t="shared" si="124"/>
        <v>1</v>
      </c>
      <c r="BU38" s="18">
        <f t="shared" si="124"/>
        <v>1</v>
      </c>
      <c r="BV38" s="20" t="e">
        <f t="shared" ref="BV38:BX38" si="125">ROUND(1/BP38,2)</f>
        <v>#DIV/0!</v>
      </c>
      <c r="BW38" s="20" t="e">
        <f t="shared" si="125"/>
        <v>#DIV/0!</v>
      </c>
      <c r="BX38" s="20" t="e">
        <f t="shared" si="125"/>
        <v>#DIV/0!</v>
      </c>
      <c r="BY38" s="15">
        <f t="shared" si="122"/>
        <v>45831</v>
      </c>
    </row>
    <row r="39" spans="2:77">
      <c r="B39" s="151">
        <f>+Carga!K39</f>
        <v>45859</v>
      </c>
      <c r="C39" s="152">
        <f>+'Calculadora VDFA'!$M$6</f>
        <v>0.61</v>
      </c>
      <c r="E39" s="6">
        <f>Carga!L39</f>
        <v>309807</v>
      </c>
      <c r="F39" s="6">
        <f t="shared" si="123"/>
        <v>0</v>
      </c>
      <c r="G39" s="11">
        <f>+MAX(Carga!$D$8,MIN(Carga!$F$8,Carga!$E$8+$C39))</f>
        <v>0.61</v>
      </c>
      <c r="H39" s="6">
        <f>F39*G39*Carga!P39/360</f>
        <v>0</v>
      </c>
      <c r="I39" s="154">
        <f t="shared" si="45"/>
        <v>-2.5320332497358322E-9</v>
      </c>
      <c r="J39" s="6">
        <f t="shared" si="46"/>
        <v>0</v>
      </c>
      <c r="K39" s="6">
        <f t="shared" si="47"/>
        <v>0</v>
      </c>
      <c r="L39" s="6">
        <f t="shared" si="0"/>
        <v>0</v>
      </c>
      <c r="N39" s="6">
        <f t="shared" si="1"/>
        <v>309807</v>
      </c>
      <c r="O39" s="6">
        <f t="shared" si="48"/>
        <v>0</v>
      </c>
      <c r="P39" s="11">
        <f>+MAX(Carga!$D$9,MIN(Carga!$F$9,Carga!$E$9+$C39))</f>
        <v>0.63</v>
      </c>
      <c r="Q39" s="6">
        <f>+O39*P39*Carga!P39/360</f>
        <v>0</v>
      </c>
      <c r="R39" s="6">
        <f t="shared" si="49"/>
        <v>0</v>
      </c>
      <c r="S39" s="6">
        <f t="shared" si="117"/>
        <v>0</v>
      </c>
      <c r="T39" s="6">
        <f t="shared" si="61"/>
        <v>0</v>
      </c>
      <c r="U39" s="6">
        <f t="shared" si="4"/>
        <v>0</v>
      </c>
      <c r="W39" s="6">
        <f t="shared" si="5"/>
        <v>309807</v>
      </c>
      <c r="X39" s="6">
        <f t="shared" si="50"/>
        <v>0</v>
      </c>
      <c r="Y39" s="11">
        <f>+MAX(Carga!$D$10,MIN(Carga!$F$10,Carga!$E$10+$C39))</f>
        <v>0.61</v>
      </c>
      <c r="Z39" s="6">
        <f t="shared" si="51"/>
        <v>0</v>
      </c>
      <c r="AA39" s="6">
        <f t="shared" si="6"/>
        <v>0</v>
      </c>
      <c r="AB39" s="6">
        <f t="shared" si="7"/>
        <v>0</v>
      </c>
      <c r="AC39" s="6">
        <f t="shared" si="8"/>
        <v>0</v>
      </c>
      <c r="AE39" s="6">
        <f t="shared" si="9"/>
        <v>309807</v>
      </c>
      <c r="AF39" s="6">
        <f t="shared" si="52"/>
        <v>100</v>
      </c>
      <c r="AG39" s="11" t="b">
        <f t="shared" si="106"/>
        <v>0</v>
      </c>
      <c r="AH39" s="6">
        <f t="shared" si="11"/>
        <v>0</v>
      </c>
      <c r="AI39" s="6">
        <f t="shared" si="12"/>
        <v>309807</v>
      </c>
      <c r="AJ39" s="6">
        <f t="shared" si="13"/>
        <v>309807</v>
      </c>
      <c r="AL39" s="6">
        <f t="shared" si="118"/>
        <v>1070</v>
      </c>
      <c r="AN39" s="6">
        <f t="shared" si="15"/>
        <v>0</v>
      </c>
      <c r="AO39" s="6" t="e">
        <f t="shared" si="16"/>
        <v>#NUM!</v>
      </c>
      <c r="AP39" s="6" t="e">
        <f t="shared" si="17"/>
        <v>#NUM!</v>
      </c>
      <c r="AR39" s="6">
        <f t="shared" si="18"/>
        <v>0</v>
      </c>
      <c r="AS39" s="6" t="e">
        <f t="shared" si="19"/>
        <v>#NUM!</v>
      </c>
      <c r="AT39" s="6" t="e">
        <f t="shared" si="20"/>
        <v>#NUM!</v>
      </c>
      <c r="AV39" s="6">
        <f t="shared" si="21"/>
        <v>0</v>
      </c>
      <c r="AW39" s="6" t="e">
        <f t="shared" si="22"/>
        <v>#NUM!</v>
      </c>
      <c r="AX39" s="6" t="e">
        <f t="shared" si="23"/>
        <v>#NUM!</v>
      </c>
      <c r="AZ39" s="6">
        <f t="shared" si="24"/>
        <v>309807</v>
      </c>
      <c r="BA39" s="6" t="e">
        <f t="shared" si="25"/>
        <v>#NUM!</v>
      </c>
      <c r="BB39" s="6" t="e">
        <f t="shared" si="26"/>
        <v>#NUM!</v>
      </c>
      <c r="BD39" s="6">
        <f t="shared" si="27"/>
        <v>0</v>
      </c>
      <c r="BE39" s="6">
        <f t="shared" si="28"/>
        <v>0</v>
      </c>
      <c r="BF39" s="6">
        <f t="shared" si="29"/>
        <v>0</v>
      </c>
      <c r="BG39" s="6">
        <f t="shared" si="30"/>
        <v>309807</v>
      </c>
      <c r="BI39" s="6" t="e">
        <f t="shared" si="31"/>
        <v>#DIV/0!</v>
      </c>
      <c r="BJ39" s="6" t="e">
        <f t="shared" si="32"/>
        <v>#DIV/0!</v>
      </c>
      <c r="BK39" s="6">
        <f t="shared" ca="1" si="119"/>
        <v>0</v>
      </c>
      <c r="BL39" s="6">
        <f t="shared" si="34"/>
        <v>452403</v>
      </c>
      <c r="BM39" s="6">
        <f t="shared" si="35"/>
        <v>0</v>
      </c>
      <c r="BN39" s="6">
        <f t="shared" si="36"/>
        <v>0</v>
      </c>
      <c r="BO39" s="6">
        <f t="shared" si="37"/>
        <v>0</v>
      </c>
      <c r="BP39" s="11">
        <f t="shared" si="38"/>
        <v>0</v>
      </c>
      <c r="BQ39" s="11">
        <f t="shared" si="39"/>
        <v>0</v>
      </c>
      <c r="BR39" s="11">
        <f t="shared" si="40"/>
        <v>0</v>
      </c>
      <c r="BS39" s="11">
        <f t="shared" ref="BS39:BU39" si="126">+(1-BP39)</f>
        <v>1</v>
      </c>
      <c r="BT39" s="11">
        <f t="shared" si="126"/>
        <v>1</v>
      </c>
      <c r="BU39" s="11">
        <f t="shared" si="126"/>
        <v>1</v>
      </c>
      <c r="BV39" s="19" t="e">
        <f t="shared" ref="BV39:BX39" si="127">ROUND(1/BP39,2)</f>
        <v>#DIV/0!</v>
      </c>
      <c r="BW39" s="19" t="e">
        <f t="shared" si="127"/>
        <v>#DIV/0!</v>
      </c>
      <c r="BX39" s="19" t="e">
        <f t="shared" si="127"/>
        <v>#DIV/0!</v>
      </c>
      <c r="BY39" s="7">
        <f t="shared" si="122"/>
        <v>45859</v>
      </c>
    </row>
    <row r="40" spans="2:77">
      <c r="B40" s="151">
        <f>+Carga!K40</f>
        <v>45889</v>
      </c>
      <c r="C40" s="153">
        <f>+'Calculadora VDFA'!$M$6</f>
        <v>0.61</v>
      </c>
      <c r="E40" s="17">
        <f>Carga!L40</f>
        <v>142596</v>
      </c>
      <c r="F40" s="17">
        <f t="shared" si="123"/>
        <v>0</v>
      </c>
      <c r="G40" s="18">
        <f>+MAX(Carga!$D$8,MIN(Carga!$F$8,Carga!$E$8+$C40))</f>
        <v>0.61</v>
      </c>
      <c r="H40" s="17">
        <f>F40*G40*Carga!P40/360</f>
        <v>0</v>
      </c>
      <c r="I40" s="155">
        <f t="shared" si="45"/>
        <v>-2.5320332497358322E-9</v>
      </c>
      <c r="J40" s="17">
        <f t="shared" si="46"/>
        <v>0</v>
      </c>
      <c r="K40" s="17">
        <f t="shared" si="47"/>
        <v>0</v>
      </c>
      <c r="L40" s="17">
        <f t="shared" si="0"/>
        <v>0</v>
      </c>
      <c r="N40" s="17">
        <f t="shared" si="1"/>
        <v>142596</v>
      </c>
      <c r="O40" s="17">
        <f t="shared" si="48"/>
        <v>0</v>
      </c>
      <c r="P40" s="18">
        <f>+MAX(Carga!$D$9,MIN(Carga!$F$9,Carga!$E$9+$C40))</f>
        <v>0.63</v>
      </c>
      <c r="Q40" s="17">
        <f>+O40*P40*Carga!P40/360</f>
        <v>0</v>
      </c>
      <c r="R40" s="17">
        <f t="shared" si="49"/>
        <v>0</v>
      </c>
      <c r="S40" s="17">
        <f t="shared" si="117"/>
        <v>0</v>
      </c>
      <c r="T40" s="17">
        <f t="shared" si="61"/>
        <v>0</v>
      </c>
      <c r="U40" s="17">
        <f t="shared" si="4"/>
        <v>0</v>
      </c>
      <c r="W40" s="17">
        <f t="shared" si="5"/>
        <v>142596</v>
      </c>
      <c r="X40" s="17">
        <f t="shared" si="50"/>
        <v>0</v>
      </c>
      <c r="Y40" s="18">
        <f>+MAX(Carga!$D$10,MIN(Carga!$F$10,Carga!$E$10+$C40))</f>
        <v>0.61</v>
      </c>
      <c r="Z40" s="17">
        <f t="shared" si="51"/>
        <v>0</v>
      </c>
      <c r="AA40" s="17">
        <f t="shared" si="6"/>
        <v>0</v>
      </c>
      <c r="AB40" s="17">
        <f t="shared" si="7"/>
        <v>0</v>
      </c>
      <c r="AC40" s="17">
        <f t="shared" si="8"/>
        <v>0</v>
      </c>
      <c r="AE40" s="17">
        <f t="shared" si="9"/>
        <v>142596</v>
      </c>
      <c r="AF40" s="17">
        <f t="shared" si="52"/>
        <v>100</v>
      </c>
      <c r="AG40" s="16" t="b">
        <f t="shared" si="106"/>
        <v>0</v>
      </c>
      <c r="AH40" s="17">
        <f t="shared" si="11"/>
        <v>0</v>
      </c>
      <c r="AI40" s="17">
        <f t="shared" si="12"/>
        <v>142596</v>
      </c>
      <c r="AJ40" s="17">
        <f t="shared" si="13"/>
        <v>142596</v>
      </c>
      <c r="AL40" s="16">
        <f t="shared" si="118"/>
        <v>1100</v>
      </c>
      <c r="AN40" s="17">
        <f t="shared" si="15"/>
        <v>0</v>
      </c>
      <c r="AO40" s="17" t="e">
        <f t="shared" si="16"/>
        <v>#NUM!</v>
      </c>
      <c r="AP40" s="16" t="e">
        <f t="shared" si="17"/>
        <v>#NUM!</v>
      </c>
      <c r="AR40" s="17">
        <f t="shared" si="18"/>
        <v>0</v>
      </c>
      <c r="AS40" s="17" t="e">
        <f t="shared" si="19"/>
        <v>#NUM!</v>
      </c>
      <c r="AT40" s="17" t="e">
        <f t="shared" si="20"/>
        <v>#NUM!</v>
      </c>
      <c r="AV40" s="17">
        <f t="shared" si="21"/>
        <v>0</v>
      </c>
      <c r="AW40" s="17" t="e">
        <f t="shared" si="22"/>
        <v>#NUM!</v>
      </c>
      <c r="AX40" s="17" t="e">
        <f t="shared" si="23"/>
        <v>#NUM!</v>
      </c>
      <c r="AZ40" s="17">
        <f t="shared" si="24"/>
        <v>142596</v>
      </c>
      <c r="BA40" s="17" t="e">
        <f t="shared" si="25"/>
        <v>#NUM!</v>
      </c>
      <c r="BB40" s="17" t="e">
        <f t="shared" si="26"/>
        <v>#NUM!</v>
      </c>
      <c r="BD40" s="17">
        <f t="shared" si="27"/>
        <v>0</v>
      </c>
      <c r="BE40" s="17">
        <f t="shared" si="28"/>
        <v>0</v>
      </c>
      <c r="BF40" s="17">
        <f t="shared" si="29"/>
        <v>0</v>
      </c>
      <c r="BG40" s="17">
        <f t="shared" si="30"/>
        <v>142596</v>
      </c>
      <c r="BI40" s="17" t="e">
        <f t="shared" si="31"/>
        <v>#DIV/0!</v>
      </c>
      <c r="BJ40" s="17" t="e">
        <f t="shared" si="32"/>
        <v>#DIV/0!</v>
      </c>
      <c r="BK40" s="17">
        <f t="shared" ca="1" si="119"/>
        <v>0</v>
      </c>
      <c r="BL40" s="17">
        <f t="shared" si="34"/>
        <v>142596</v>
      </c>
      <c r="BM40" s="17">
        <f t="shared" si="35"/>
        <v>0</v>
      </c>
      <c r="BN40" s="17">
        <f t="shared" si="36"/>
        <v>0</v>
      </c>
      <c r="BO40" s="17">
        <f t="shared" si="37"/>
        <v>0</v>
      </c>
      <c r="BP40" s="18">
        <f t="shared" si="38"/>
        <v>0</v>
      </c>
      <c r="BQ40" s="18">
        <f t="shared" si="39"/>
        <v>0</v>
      </c>
      <c r="BR40" s="18">
        <f t="shared" si="40"/>
        <v>0</v>
      </c>
      <c r="BS40" s="18">
        <f t="shared" ref="BS40:BU40" si="128">+(1-BP40)</f>
        <v>1</v>
      </c>
      <c r="BT40" s="18">
        <f t="shared" si="128"/>
        <v>1</v>
      </c>
      <c r="BU40" s="18">
        <f t="shared" si="128"/>
        <v>1</v>
      </c>
      <c r="BV40" s="20" t="e">
        <f t="shared" ref="BV40:BX40" si="129">ROUND(1/BP40,2)</f>
        <v>#DIV/0!</v>
      </c>
      <c r="BW40" s="20" t="e">
        <f t="shared" si="129"/>
        <v>#DIV/0!</v>
      </c>
      <c r="BX40" s="20" t="e">
        <f t="shared" si="129"/>
        <v>#DIV/0!</v>
      </c>
      <c r="BY40" s="15">
        <f t="shared" si="122"/>
        <v>45889</v>
      </c>
    </row>
    <row r="41" spans="2:77">
      <c r="B41" s="151">
        <f>+Carga!K41</f>
        <v>45922</v>
      </c>
      <c r="C41" s="152">
        <f>+'Calculadora VDFA'!$M$6</f>
        <v>0.61</v>
      </c>
      <c r="E41" s="6">
        <f>Carga!L41</f>
        <v>330870</v>
      </c>
      <c r="F41" s="6">
        <f t="shared" si="123"/>
        <v>0</v>
      </c>
      <c r="G41" s="11">
        <f>+MAX(Carga!$D$8,MIN(Carga!$F$8,Carga!$E$8+$C41))</f>
        <v>0.61</v>
      </c>
      <c r="H41" s="6">
        <f>F41*G41*Carga!P41/360</f>
        <v>0</v>
      </c>
      <c r="I41" s="154">
        <f t="shared" si="45"/>
        <v>-2.5320332497358322E-9</v>
      </c>
      <c r="J41" s="6">
        <f t="shared" si="46"/>
        <v>0</v>
      </c>
      <c r="K41" s="6">
        <f t="shared" si="47"/>
        <v>0</v>
      </c>
      <c r="L41" s="6">
        <f t="shared" si="0"/>
        <v>0</v>
      </c>
      <c r="N41" s="6">
        <f t="shared" si="1"/>
        <v>330870</v>
      </c>
      <c r="O41" s="6">
        <f t="shared" si="48"/>
        <v>0</v>
      </c>
      <c r="P41" s="11">
        <f>+MAX(Carga!$D$9,MIN(Carga!$F$9,Carga!$E$9+$C41))</f>
        <v>0.63</v>
      </c>
      <c r="Q41" s="6">
        <f>+O41*P41*Carga!P41/360</f>
        <v>0</v>
      </c>
      <c r="R41" s="6">
        <f t="shared" si="49"/>
        <v>0</v>
      </c>
      <c r="S41" s="6">
        <f t="shared" si="117"/>
        <v>0</v>
      </c>
      <c r="T41" s="6">
        <f t="shared" si="61"/>
        <v>0</v>
      </c>
      <c r="U41" s="6">
        <f t="shared" si="4"/>
        <v>0</v>
      </c>
      <c r="W41" s="6">
        <f t="shared" si="5"/>
        <v>330870</v>
      </c>
      <c r="X41" s="6">
        <f t="shared" si="50"/>
        <v>0</v>
      </c>
      <c r="Y41" s="11">
        <f>+MAX(Carga!$D$10,MIN(Carga!$F$10,Carga!$E$10+$C41))</f>
        <v>0.61</v>
      </c>
      <c r="Z41" s="6">
        <f t="shared" si="51"/>
        <v>0</v>
      </c>
      <c r="AA41" s="6">
        <f t="shared" si="6"/>
        <v>0</v>
      </c>
      <c r="AB41" s="6">
        <f t="shared" si="7"/>
        <v>0</v>
      </c>
      <c r="AC41" s="6">
        <f t="shared" si="8"/>
        <v>0</v>
      </c>
      <c r="AE41" s="6">
        <f t="shared" si="9"/>
        <v>330870</v>
      </c>
      <c r="AF41" s="6">
        <f t="shared" si="52"/>
        <v>100</v>
      </c>
      <c r="AG41" s="11" t="b">
        <f t="shared" si="106"/>
        <v>0</v>
      </c>
      <c r="AH41" s="6">
        <f t="shared" si="11"/>
        <v>0</v>
      </c>
      <c r="AI41" s="6">
        <f t="shared" si="12"/>
        <v>330870</v>
      </c>
      <c r="AJ41" s="6">
        <f t="shared" si="13"/>
        <v>330870</v>
      </c>
      <c r="AL41" s="6">
        <f t="shared" si="118"/>
        <v>1133</v>
      </c>
      <c r="AN41" s="6">
        <f t="shared" si="15"/>
        <v>0</v>
      </c>
      <c r="AO41" s="6" t="e">
        <f t="shared" si="16"/>
        <v>#NUM!</v>
      </c>
      <c r="AP41" s="6" t="e">
        <f t="shared" si="17"/>
        <v>#NUM!</v>
      </c>
      <c r="AR41" s="6">
        <f t="shared" si="18"/>
        <v>0</v>
      </c>
      <c r="AS41" s="6" t="e">
        <f t="shared" si="19"/>
        <v>#NUM!</v>
      </c>
      <c r="AT41" s="6" t="e">
        <f t="shared" si="20"/>
        <v>#NUM!</v>
      </c>
      <c r="AV41" s="6">
        <f t="shared" si="21"/>
        <v>0</v>
      </c>
      <c r="AW41" s="6" t="e">
        <f t="shared" si="22"/>
        <v>#NUM!</v>
      </c>
      <c r="AX41" s="6" t="e">
        <f t="shared" si="23"/>
        <v>#NUM!</v>
      </c>
      <c r="AZ41" s="6">
        <f t="shared" si="24"/>
        <v>330870</v>
      </c>
      <c r="BA41" s="6" t="e">
        <f t="shared" si="25"/>
        <v>#NUM!</v>
      </c>
      <c r="BB41" s="6" t="e">
        <f t="shared" si="26"/>
        <v>#NUM!</v>
      </c>
      <c r="BD41" s="6">
        <f t="shared" si="27"/>
        <v>0</v>
      </c>
      <c r="BE41" s="6">
        <f t="shared" si="28"/>
        <v>0</v>
      </c>
      <c r="BF41" s="6">
        <f t="shared" si="29"/>
        <v>0</v>
      </c>
      <c r="BG41" s="6">
        <f t="shared" si="30"/>
        <v>330870</v>
      </c>
      <c r="BI41" s="6" t="e">
        <f t="shared" si="31"/>
        <v>#DIV/0!</v>
      </c>
      <c r="BJ41" s="6" t="e">
        <f t="shared" si="32"/>
        <v>#DIV/0!</v>
      </c>
      <c r="BK41" s="6">
        <f t="shared" ca="1" si="119"/>
        <v>0</v>
      </c>
      <c r="BL41" s="6">
        <f t="shared" si="34"/>
        <v>473466</v>
      </c>
      <c r="BM41" s="6">
        <f t="shared" si="35"/>
        <v>0</v>
      </c>
      <c r="BN41" s="6">
        <f t="shared" si="36"/>
        <v>0</v>
      </c>
      <c r="BO41" s="6">
        <f t="shared" si="37"/>
        <v>0</v>
      </c>
      <c r="BP41" s="11">
        <f t="shared" si="38"/>
        <v>0</v>
      </c>
      <c r="BQ41" s="11">
        <f t="shared" si="39"/>
        <v>0</v>
      </c>
      <c r="BR41" s="11">
        <f t="shared" si="40"/>
        <v>0</v>
      </c>
      <c r="BS41" s="11">
        <f t="shared" ref="BS41:BU41" si="130">+(1-BP41)</f>
        <v>1</v>
      </c>
      <c r="BT41" s="11">
        <f t="shared" si="130"/>
        <v>1</v>
      </c>
      <c r="BU41" s="11">
        <f t="shared" si="130"/>
        <v>1</v>
      </c>
      <c r="BV41" s="19" t="e">
        <f t="shared" ref="BV41:BX41" si="131">ROUND(1/BP41,2)</f>
        <v>#DIV/0!</v>
      </c>
      <c r="BW41" s="19" t="e">
        <f t="shared" si="131"/>
        <v>#DIV/0!</v>
      </c>
      <c r="BX41" s="19" t="e">
        <f t="shared" si="131"/>
        <v>#DIV/0!</v>
      </c>
      <c r="BY41" s="7">
        <f t="shared" si="122"/>
        <v>45922</v>
      </c>
    </row>
    <row r="42" spans="2:77">
      <c r="B42" s="151">
        <f>+Carga!K42</f>
        <v>45950</v>
      </c>
      <c r="C42" s="153">
        <f>+'Calculadora VDFA'!$M$6</f>
        <v>0.61</v>
      </c>
      <c r="E42" s="17">
        <f>Carga!L42</f>
        <v>321544</v>
      </c>
      <c r="F42" s="17">
        <f t="shared" si="123"/>
        <v>0</v>
      </c>
      <c r="G42" s="18">
        <f>+MAX(Carga!$D$8,MIN(Carga!$F$8,Carga!$E$8+$C42))</f>
        <v>0.61</v>
      </c>
      <c r="H42" s="17">
        <f>F42*G42*Carga!P42/360</f>
        <v>0</v>
      </c>
      <c r="I42" s="155">
        <f t="shared" si="45"/>
        <v>-2.5320332497358322E-9</v>
      </c>
      <c r="J42" s="17">
        <f t="shared" si="46"/>
        <v>0</v>
      </c>
      <c r="K42" s="17">
        <f t="shared" si="47"/>
        <v>0</v>
      </c>
      <c r="L42" s="17">
        <f t="shared" si="0"/>
        <v>0</v>
      </c>
      <c r="N42" s="17">
        <f t="shared" si="1"/>
        <v>321544</v>
      </c>
      <c r="O42" s="17">
        <f t="shared" si="48"/>
        <v>0</v>
      </c>
      <c r="P42" s="18">
        <f>+MAX(Carga!$D$9,MIN(Carga!$F$9,Carga!$E$9+$C42))</f>
        <v>0.63</v>
      </c>
      <c r="Q42" s="17">
        <f>+O42*P42*Carga!P42/360</f>
        <v>0</v>
      </c>
      <c r="R42" s="17">
        <f t="shared" si="49"/>
        <v>0</v>
      </c>
      <c r="S42" s="17">
        <f t="shared" si="117"/>
        <v>0</v>
      </c>
      <c r="T42" s="17">
        <f t="shared" si="61"/>
        <v>0</v>
      </c>
      <c r="U42" s="17">
        <f t="shared" si="4"/>
        <v>0</v>
      </c>
      <c r="W42" s="17">
        <f t="shared" si="5"/>
        <v>321544</v>
      </c>
      <c r="X42" s="17">
        <f t="shared" si="50"/>
        <v>0</v>
      </c>
      <c r="Y42" s="18">
        <f>+MAX(Carga!$D$10,MIN(Carga!$F$10,Carga!$E$10+$C42))</f>
        <v>0.61</v>
      </c>
      <c r="Z42" s="17">
        <f t="shared" si="51"/>
        <v>0</v>
      </c>
      <c r="AA42" s="17">
        <f t="shared" si="6"/>
        <v>0</v>
      </c>
      <c r="AB42" s="17">
        <f t="shared" si="7"/>
        <v>0</v>
      </c>
      <c r="AC42" s="17">
        <f t="shared" si="8"/>
        <v>0</v>
      </c>
      <c r="AE42" s="17">
        <f t="shared" si="9"/>
        <v>321544</v>
      </c>
      <c r="AF42" s="17">
        <f t="shared" si="52"/>
        <v>100</v>
      </c>
      <c r="AG42" s="16" t="b">
        <f t="shared" si="106"/>
        <v>1</v>
      </c>
      <c r="AH42" s="17">
        <f t="shared" si="11"/>
        <v>100</v>
      </c>
      <c r="AI42" s="17">
        <f t="shared" si="12"/>
        <v>321444</v>
      </c>
      <c r="AJ42" s="17">
        <f t="shared" si="13"/>
        <v>321544</v>
      </c>
      <c r="AL42" s="16">
        <f t="shared" si="118"/>
        <v>1161</v>
      </c>
      <c r="AN42" s="17">
        <f t="shared" si="15"/>
        <v>0</v>
      </c>
      <c r="AO42" s="17" t="e">
        <f t="shared" si="16"/>
        <v>#NUM!</v>
      </c>
      <c r="AP42" s="16" t="e">
        <f t="shared" si="17"/>
        <v>#NUM!</v>
      </c>
      <c r="AR42" s="17">
        <f t="shared" si="18"/>
        <v>0</v>
      </c>
      <c r="AS42" s="17" t="e">
        <f t="shared" si="19"/>
        <v>#NUM!</v>
      </c>
      <c r="AT42" s="17" t="e">
        <f t="shared" si="20"/>
        <v>#NUM!</v>
      </c>
      <c r="AV42" s="17">
        <f t="shared" si="21"/>
        <v>0</v>
      </c>
      <c r="AW42" s="17" t="e">
        <f t="shared" si="22"/>
        <v>#NUM!</v>
      </c>
      <c r="AX42" s="17" t="e">
        <f t="shared" si="23"/>
        <v>#NUM!</v>
      </c>
      <c r="AZ42" s="17">
        <f t="shared" si="24"/>
        <v>321544</v>
      </c>
      <c r="BA42" s="17" t="e">
        <f t="shared" si="25"/>
        <v>#NUM!</v>
      </c>
      <c r="BB42" s="17" t="e">
        <f t="shared" si="26"/>
        <v>#NUM!</v>
      </c>
      <c r="BD42" s="17">
        <f t="shared" si="27"/>
        <v>0</v>
      </c>
      <c r="BE42" s="17">
        <f t="shared" si="28"/>
        <v>0</v>
      </c>
      <c r="BF42" s="17">
        <f t="shared" si="29"/>
        <v>0</v>
      </c>
      <c r="BG42" s="17">
        <f t="shared" si="30"/>
        <v>321544</v>
      </c>
      <c r="BI42" s="17" t="e">
        <f t="shared" si="31"/>
        <v>#DIV/0!</v>
      </c>
      <c r="BJ42" s="17" t="e">
        <f t="shared" si="32"/>
        <v>#DIV/0!</v>
      </c>
      <c r="BK42" s="17">
        <f t="shared" ca="1" si="119"/>
        <v>0</v>
      </c>
      <c r="BL42" s="17">
        <f t="shared" si="34"/>
        <v>795010</v>
      </c>
      <c r="BM42" s="17">
        <f t="shared" si="35"/>
        <v>0</v>
      </c>
      <c r="BN42" s="17">
        <f t="shared" si="36"/>
        <v>0</v>
      </c>
      <c r="BO42" s="17">
        <f t="shared" si="37"/>
        <v>0</v>
      </c>
      <c r="BP42" s="18">
        <f t="shared" si="38"/>
        <v>0</v>
      </c>
      <c r="BQ42" s="18">
        <f t="shared" si="39"/>
        <v>0</v>
      </c>
      <c r="BR42" s="18">
        <f t="shared" si="40"/>
        <v>0</v>
      </c>
      <c r="BS42" s="18">
        <f t="shared" ref="BS42:BU42" si="132">+(1-BP42)</f>
        <v>1</v>
      </c>
      <c r="BT42" s="18">
        <f t="shared" si="132"/>
        <v>1</v>
      </c>
      <c r="BU42" s="18">
        <f t="shared" si="132"/>
        <v>1</v>
      </c>
      <c r="BV42" s="20" t="e">
        <f t="shared" ref="BV42:BX42" si="133">ROUND(1/BP42,2)</f>
        <v>#DIV/0!</v>
      </c>
      <c r="BW42" s="20" t="e">
        <f t="shared" si="133"/>
        <v>#DIV/0!</v>
      </c>
      <c r="BX42" s="20" t="e">
        <f t="shared" si="133"/>
        <v>#DIV/0!</v>
      </c>
      <c r="BY42" s="15">
        <f t="shared" si="122"/>
        <v>45950</v>
      </c>
    </row>
    <row r="43" spans="2:77">
      <c r="B43" s="151">
        <f>+Carga!K43</f>
        <v>0</v>
      </c>
      <c r="C43" s="152">
        <f>+'Calculadora VDFA'!$M$6</f>
        <v>0.61</v>
      </c>
      <c r="E43" s="6">
        <f>Carga!L43</f>
        <v>0</v>
      </c>
      <c r="F43" s="6">
        <f t="shared" si="123"/>
        <v>0</v>
      </c>
      <c r="G43" s="11">
        <f>+MAX(Carga!$D$8,MIN(Carga!$F$8,Carga!$E$8+$C43))</f>
        <v>0.61</v>
      </c>
      <c r="H43" s="6">
        <f>F43*G43*Carga!P43/360</f>
        <v>0</v>
      </c>
      <c r="I43" s="154">
        <f t="shared" si="45"/>
        <v>-2.5320332497358322E-9</v>
      </c>
      <c r="J43" s="6">
        <f t="shared" si="46"/>
        <v>0</v>
      </c>
      <c r="K43" s="6">
        <f t="shared" si="47"/>
        <v>0</v>
      </c>
      <c r="L43" s="6">
        <f t="shared" si="0"/>
        <v>0</v>
      </c>
      <c r="N43" s="6">
        <f t="shared" si="1"/>
        <v>0</v>
      </c>
      <c r="O43" s="6">
        <f t="shared" si="48"/>
        <v>0</v>
      </c>
      <c r="P43" s="11">
        <f>+MAX(Carga!$D$9,MIN(Carga!$F$9,Carga!$E$9+$C43))</f>
        <v>0.63</v>
      </c>
      <c r="Q43" s="6">
        <f>+O43*P43*Carga!P43/360</f>
        <v>0</v>
      </c>
      <c r="R43" s="6">
        <f t="shared" si="49"/>
        <v>0</v>
      </c>
      <c r="S43" s="6">
        <f t="shared" si="117"/>
        <v>0</v>
      </c>
      <c r="T43" s="6">
        <f t="shared" si="61"/>
        <v>0</v>
      </c>
      <c r="U43" s="6">
        <f t="shared" si="4"/>
        <v>0</v>
      </c>
      <c r="W43" s="6">
        <f t="shared" si="5"/>
        <v>0</v>
      </c>
      <c r="X43" s="6">
        <f t="shared" si="50"/>
        <v>0</v>
      </c>
      <c r="Y43" s="11">
        <f>+MAX(Carga!$D$10,MIN(Carga!$F$10,Carga!$E$10+$C43))</f>
        <v>0.61</v>
      </c>
      <c r="Z43" s="6">
        <f t="shared" si="51"/>
        <v>0</v>
      </c>
      <c r="AA43" s="6">
        <f t="shared" si="6"/>
        <v>0</v>
      </c>
      <c r="AB43" s="6">
        <f t="shared" si="7"/>
        <v>0</v>
      </c>
      <c r="AC43" s="6">
        <f t="shared" si="8"/>
        <v>0</v>
      </c>
      <c r="AE43" s="6">
        <f t="shared" si="9"/>
        <v>0</v>
      </c>
      <c r="AF43" s="6">
        <f t="shared" si="52"/>
        <v>0</v>
      </c>
      <c r="AG43" s="11" t="b">
        <f>IF(MAX(AE47:AE$65)&gt;0,FALSE,TRUE)</f>
        <v>1</v>
      </c>
      <c r="AH43" s="6">
        <f t="shared" si="11"/>
        <v>0</v>
      </c>
      <c r="AI43" s="6">
        <f t="shared" si="12"/>
        <v>0</v>
      </c>
      <c r="AJ43" s="6">
        <f t="shared" si="13"/>
        <v>0</v>
      </c>
      <c r="AL43" s="6">
        <f t="shared" si="118"/>
        <v>-44789</v>
      </c>
      <c r="AN43" s="6">
        <f t="shared" si="15"/>
        <v>0</v>
      </c>
      <c r="AO43" s="6" t="e">
        <f t="shared" si="16"/>
        <v>#NUM!</v>
      </c>
      <c r="AP43" s="6" t="e">
        <f t="shared" si="17"/>
        <v>#NUM!</v>
      </c>
      <c r="AR43" s="6">
        <f t="shared" si="18"/>
        <v>0</v>
      </c>
      <c r="AS43" s="6" t="e">
        <f t="shared" si="19"/>
        <v>#NUM!</v>
      </c>
      <c r="AT43" s="6" t="e">
        <f t="shared" si="20"/>
        <v>#NUM!</v>
      </c>
      <c r="AV43" s="6">
        <f t="shared" si="21"/>
        <v>0</v>
      </c>
      <c r="AW43" s="6" t="e">
        <f t="shared" si="22"/>
        <v>#NUM!</v>
      </c>
      <c r="AX43" s="6" t="e">
        <f t="shared" si="23"/>
        <v>#NUM!</v>
      </c>
      <c r="AZ43" s="6">
        <f t="shared" si="24"/>
        <v>0</v>
      </c>
      <c r="BA43" s="6" t="e">
        <f t="shared" si="25"/>
        <v>#NUM!</v>
      </c>
      <c r="BB43" s="6" t="e">
        <f t="shared" si="26"/>
        <v>#NUM!</v>
      </c>
      <c r="BD43" s="6">
        <f t="shared" si="27"/>
        <v>0</v>
      </c>
      <c r="BE43" s="6">
        <f t="shared" si="28"/>
        <v>0</v>
      </c>
      <c r="BF43" s="6">
        <f t="shared" si="29"/>
        <v>0</v>
      </c>
      <c r="BG43" s="6">
        <f t="shared" si="30"/>
        <v>0</v>
      </c>
      <c r="BI43" s="6" t="e">
        <f t="shared" si="31"/>
        <v>#DIV/0!</v>
      </c>
      <c r="BJ43" s="6" t="e">
        <f t="shared" si="32"/>
        <v>#DIV/0!</v>
      </c>
      <c r="BK43" s="6">
        <f t="shared" ca="1" si="119"/>
        <v>0</v>
      </c>
      <c r="BL43" s="6">
        <f t="shared" si="34"/>
        <v>795010</v>
      </c>
      <c r="BM43" s="6">
        <f t="shared" si="35"/>
        <v>0</v>
      </c>
      <c r="BN43" s="6">
        <f t="shared" si="36"/>
        <v>0</v>
      </c>
      <c r="BO43" s="6">
        <f t="shared" si="37"/>
        <v>0</v>
      </c>
      <c r="BP43" s="11">
        <f t="shared" si="38"/>
        <v>0</v>
      </c>
      <c r="BQ43" s="11">
        <f t="shared" si="39"/>
        <v>0</v>
      </c>
      <c r="BR43" s="11">
        <f t="shared" si="40"/>
        <v>0</v>
      </c>
      <c r="BS43" s="11">
        <f t="shared" ref="BS43:BU43" si="134">+(1-BP43)</f>
        <v>1</v>
      </c>
      <c r="BT43" s="11">
        <f t="shared" si="134"/>
        <v>1</v>
      </c>
      <c r="BU43" s="11">
        <f t="shared" si="134"/>
        <v>1</v>
      </c>
      <c r="BV43" s="19" t="e">
        <f t="shared" ref="BV43:BX43" si="135">ROUND(1/BP43,2)</f>
        <v>#DIV/0!</v>
      </c>
      <c r="BW43" s="19" t="e">
        <f t="shared" si="135"/>
        <v>#DIV/0!</v>
      </c>
      <c r="BX43" s="19" t="e">
        <f t="shared" si="135"/>
        <v>#DIV/0!</v>
      </c>
      <c r="BY43" s="7">
        <f t="shared" si="122"/>
        <v>0</v>
      </c>
    </row>
    <row r="44" spans="2:77">
      <c r="B44" s="151">
        <f>+Carga!K44</f>
        <v>0</v>
      </c>
      <c r="C44" s="153">
        <f>+'Calculadora VDFA'!$M$6</f>
        <v>0.61</v>
      </c>
      <c r="E44" s="17">
        <f>Carga!L44</f>
        <v>0</v>
      </c>
      <c r="F44" s="17">
        <f t="shared" si="123"/>
        <v>0</v>
      </c>
      <c r="G44" s="18">
        <f>+MAX(Carga!$D$8,MIN(Carga!$F$8,Carga!$E$8+$C44))</f>
        <v>0.61</v>
      </c>
      <c r="H44" s="17">
        <f>F44*G44*Carga!P44/360</f>
        <v>0</v>
      </c>
      <c r="I44" s="155">
        <f t="shared" si="45"/>
        <v>-2.5320332497358322E-9</v>
      </c>
      <c r="J44" s="17">
        <f t="shared" si="46"/>
        <v>0</v>
      </c>
      <c r="K44" s="17">
        <f t="shared" si="47"/>
        <v>0</v>
      </c>
      <c r="L44" s="17">
        <f t="shared" si="0"/>
        <v>0</v>
      </c>
      <c r="N44" s="17">
        <f t="shared" si="1"/>
        <v>0</v>
      </c>
      <c r="O44" s="17">
        <f t="shared" si="48"/>
        <v>0</v>
      </c>
      <c r="P44" s="18">
        <f>+MAX(Carga!$D$9,MIN(Carga!$F$9,Carga!$E$9+$C44))</f>
        <v>0.63</v>
      </c>
      <c r="Q44" s="17">
        <f>+O44*P44*Carga!P44/360</f>
        <v>0</v>
      </c>
      <c r="R44" s="17">
        <f t="shared" si="49"/>
        <v>0</v>
      </c>
      <c r="S44" s="17">
        <f t="shared" si="117"/>
        <v>0</v>
      </c>
      <c r="T44" s="17">
        <f t="shared" si="61"/>
        <v>0</v>
      </c>
      <c r="U44" s="17">
        <f t="shared" si="4"/>
        <v>0</v>
      </c>
      <c r="W44" s="17">
        <f t="shared" si="5"/>
        <v>0</v>
      </c>
      <c r="X44" s="17">
        <f t="shared" si="50"/>
        <v>0</v>
      </c>
      <c r="Y44" s="18">
        <f>+MAX(Carga!$D$10,MIN(Carga!$F$10,Carga!$E$10+$C44))</f>
        <v>0.61</v>
      </c>
      <c r="Z44" s="17">
        <f t="shared" si="51"/>
        <v>0</v>
      </c>
      <c r="AA44" s="17">
        <f t="shared" si="6"/>
        <v>0</v>
      </c>
      <c r="AB44" s="17">
        <f t="shared" si="7"/>
        <v>0</v>
      </c>
      <c r="AC44" s="17">
        <f t="shared" si="8"/>
        <v>0</v>
      </c>
      <c r="AE44" s="17">
        <f t="shared" si="9"/>
        <v>0</v>
      </c>
      <c r="AF44" s="17">
        <f t="shared" si="52"/>
        <v>0</v>
      </c>
      <c r="AG44" s="16" t="b">
        <f>IF(MAX(AE45:AE$65)&gt;0,FALSE,TRUE)</f>
        <v>1</v>
      </c>
      <c r="AH44" s="17">
        <f t="shared" si="11"/>
        <v>0</v>
      </c>
      <c r="AI44" s="17">
        <f t="shared" si="12"/>
        <v>0</v>
      </c>
      <c r="AJ44" s="17">
        <f t="shared" si="13"/>
        <v>0</v>
      </c>
      <c r="AL44" s="16">
        <f t="shared" si="118"/>
        <v>-44789</v>
      </c>
      <c r="AN44" s="17">
        <f t="shared" si="15"/>
        <v>0</v>
      </c>
      <c r="AO44" s="17" t="e">
        <f t="shared" si="16"/>
        <v>#NUM!</v>
      </c>
      <c r="AP44" s="16" t="e">
        <f t="shared" si="17"/>
        <v>#NUM!</v>
      </c>
      <c r="AR44" s="17">
        <f t="shared" si="18"/>
        <v>0</v>
      </c>
      <c r="AS44" s="17" t="e">
        <f t="shared" si="19"/>
        <v>#NUM!</v>
      </c>
      <c r="AT44" s="17" t="e">
        <f t="shared" si="20"/>
        <v>#NUM!</v>
      </c>
      <c r="AV44" s="17">
        <f t="shared" si="21"/>
        <v>0</v>
      </c>
      <c r="AW44" s="17" t="e">
        <f t="shared" si="22"/>
        <v>#NUM!</v>
      </c>
      <c r="AX44" s="17" t="e">
        <f t="shared" si="23"/>
        <v>#NUM!</v>
      </c>
      <c r="AZ44" s="17">
        <f t="shared" si="24"/>
        <v>0</v>
      </c>
      <c r="BA44" s="17" t="e">
        <f t="shared" si="25"/>
        <v>#NUM!</v>
      </c>
      <c r="BB44" s="17" t="e">
        <f t="shared" si="26"/>
        <v>#NUM!</v>
      </c>
      <c r="BD44" s="17">
        <f t="shared" si="27"/>
        <v>0</v>
      </c>
      <c r="BE44" s="17">
        <f t="shared" si="28"/>
        <v>0</v>
      </c>
      <c r="BF44" s="17">
        <f t="shared" si="29"/>
        <v>0</v>
      </c>
      <c r="BG44" s="17">
        <f t="shared" si="30"/>
        <v>0</v>
      </c>
      <c r="BI44" s="17" t="e">
        <f t="shared" si="31"/>
        <v>#DIV/0!</v>
      </c>
      <c r="BJ44" s="17" t="e">
        <f t="shared" si="32"/>
        <v>#DIV/0!</v>
      </c>
      <c r="BK44" s="17">
        <f t="shared" ca="1" si="119"/>
        <v>0</v>
      </c>
      <c r="BL44" s="17">
        <f t="shared" si="34"/>
        <v>795010</v>
      </c>
      <c r="BM44" s="17">
        <f t="shared" si="35"/>
        <v>0</v>
      </c>
      <c r="BN44" s="17">
        <f t="shared" si="36"/>
        <v>0</v>
      </c>
      <c r="BO44" s="17">
        <f t="shared" si="37"/>
        <v>0</v>
      </c>
      <c r="BP44" s="18">
        <f t="shared" si="38"/>
        <v>0</v>
      </c>
      <c r="BQ44" s="18">
        <f t="shared" si="39"/>
        <v>0</v>
      </c>
      <c r="BR44" s="18">
        <f t="shared" si="40"/>
        <v>0</v>
      </c>
      <c r="BS44" s="18">
        <f t="shared" ref="BS44:BU44" si="136">+(1-BP44)</f>
        <v>1</v>
      </c>
      <c r="BT44" s="18">
        <f t="shared" si="136"/>
        <v>1</v>
      </c>
      <c r="BU44" s="18">
        <f t="shared" si="136"/>
        <v>1</v>
      </c>
      <c r="BV44" s="20" t="e">
        <f t="shared" ref="BV44:BX44" si="137">ROUND(1/BP44,2)</f>
        <v>#DIV/0!</v>
      </c>
      <c r="BW44" s="20" t="e">
        <f t="shared" si="137"/>
        <v>#DIV/0!</v>
      </c>
      <c r="BX44" s="20" t="e">
        <f t="shared" si="137"/>
        <v>#DIV/0!</v>
      </c>
      <c r="BY44" s="15">
        <f t="shared" si="122"/>
        <v>0</v>
      </c>
    </row>
    <row r="45" spans="2:77">
      <c r="B45" s="151">
        <f>+Carga!K45</f>
        <v>0</v>
      </c>
      <c r="C45" s="152">
        <f>+'Calculadora VDFA'!$M$6</f>
        <v>0.61</v>
      </c>
      <c r="E45" s="6">
        <f>Carga!L45</f>
        <v>0</v>
      </c>
      <c r="F45" s="6">
        <f t="shared" si="123"/>
        <v>0</v>
      </c>
      <c r="G45" s="11">
        <f>+MAX(Carga!$D$8,MIN(Carga!$F$8,Carga!$E$8+$C45))</f>
        <v>0.61</v>
      </c>
      <c r="H45" s="6">
        <f>F45*G45*Carga!P45/360</f>
        <v>0</v>
      </c>
      <c r="I45" s="154">
        <f t="shared" si="45"/>
        <v>-2.5320332497358322E-9</v>
      </c>
      <c r="J45" s="6">
        <f t="shared" si="46"/>
        <v>0</v>
      </c>
      <c r="K45" s="6">
        <f t="shared" si="47"/>
        <v>0</v>
      </c>
      <c r="L45" s="6">
        <f t="shared" si="0"/>
        <v>0</v>
      </c>
      <c r="N45" s="6">
        <f t="shared" si="1"/>
        <v>0</v>
      </c>
      <c r="O45" s="6">
        <f t="shared" si="48"/>
        <v>0</v>
      </c>
      <c r="P45" s="11">
        <f>+MAX(Carga!$D$9,MIN(Carga!$F$9,Carga!$E$9+$C45))</f>
        <v>0.63</v>
      </c>
      <c r="Q45" s="6">
        <f>+O45*P45*Carga!P45/360</f>
        <v>0</v>
      </c>
      <c r="R45" s="6">
        <f t="shared" si="49"/>
        <v>0</v>
      </c>
      <c r="S45" s="6">
        <f t="shared" si="117"/>
        <v>0</v>
      </c>
      <c r="T45" s="6">
        <f t="shared" si="61"/>
        <v>0</v>
      </c>
      <c r="U45" s="6">
        <f t="shared" si="4"/>
        <v>0</v>
      </c>
      <c r="W45" s="6">
        <f t="shared" si="5"/>
        <v>0</v>
      </c>
      <c r="X45" s="6">
        <f t="shared" si="50"/>
        <v>0</v>
      </c>
      <c r="Y45" s="11">
        <f>+MAX(Carga!$D$10,MIN(Carga!$F$10,Carga!$E$10+$C45))</f>
        <v>0.61</v>
      </c>
      <c r="Z45" s="6">
        <f t="shared" si="51"/>
        <v>0</v>
      </c>
      <c r="AA45" s="6">
        <f t="shared" si="6"/>
        <v>0</v>
      </c>
      <c r="AB45" s="6">
        <f t="shared" si="7"/>
        <v>0</v>
      </c>
      <c r="AC45" s="6">
        <f t="shared" si="8"/>
        <v>0</v>
      </c>
      <c r="AE45" s="6">
        <f t="shared" si="9"/>
        <v>0</v>
      </c>
      <c r="AF45" s="6">
        <f t="shared" si="52"/>
        <v>0</v>
      </c>
      <c r="AG45" s="11" t="b">
        <f>IF(MAX(AE$65:AE66)&gt;0,FALSE,TRUE)</f>
        <v>0</v>
      </c>
      <c r="AH45" s="6">
        <f t="shared" si="11"/>
        <v>-100</v>
      </c>
      <c r="AI45" s="6">
        <f t="shared" si="12"/>
        <v>100</v>
      </c>
      <c r="AJ45" s="6">
        <f t="shared" si="13"/>
        <v>0</v>
      </c>
      <c r="AL45" s="6">
        <f t="shared" si="118"/>
        <v>-44789</v>
      </c>
      <c r="AN45" s="6">
        <f t="shared" si="15"/>
        <v>0</v>
      </c>
      <c r="AO45" s="6" t="e">
        <f t="shared" si="16"/>
        <v>#NUM!</v>
      </c>
      <c r="AP45" s="6" t="e">
        <f t="shared" si="17"/>
        <v>#NUM!</v>
      </c>
      <c r="AR45" s="6">
        <f t="shared" si="18"/>
        <v>0</v>
      </c>
      <c r="AS45" s="6" t="e">
        <f t="shared" si="19"/>
        <v>#NUM!</v>
      </c>
      <c r="AT45" s="6" t="e">
        <f t="shared" si="20"/>
        <v>#NUM!</v>
      </c>
      <c r="AV45" s="6">
        <f t="shared" si="21"/>
        <v>0</v>
      </c>
      <c r="AW45" s="6" t="e">
        <f t="shared" si="22"/>
        <v>#NUM!</v>
      </c>
      <c r="AX45" s="6" t="e">
        <f t="shared" si="23"/>
        <v>#NUM!</v>
      </c>
      <c r="AZ45" s="6">
        <f t="shared" si="24"/>
        <v>0</v>
      </c>
      <c r="BA45" s="6" t="e">
        <f t="shared" si="25"/>
        <v>#NUM!</v>
      </c>
      <c r="BB45" s="6" t="e">
        <f t="shared" si="26"/>
        <v>#NUM!</v>
      </c>
      <c r="BD45" s="6">
        <f t="shared" si="27"/>
        <v>0</v>
      </c>
      <c r="BE45" s="6">
        <f t="shared" si="28"/>
        <v>0</v>
      </c>
      <c r="BF45" s="6">
        <f t="shared" si="29"/>
        <v>0</v>
      </c>
      <c r="BG45" s="6">
        <f t="shared" si="30"/>
        <v>0</v>
      </c>
      <c r="BI45" s="6" t="e">
        <f t="shared" si="31"/>
        <v>#DIV/0!</v>
      </c>
      <c r="BJ45" s="6" t="e">
        <f t="shared" si="32"/>
        <v>#DIV/0!</v>
      </c>
      <c r="BK45" s="6">
        <f t="shared" ca="1" si="119"/>
        <v>0</v>
      </c>
      <c r="BL45" s="6">
        <f t="shared" si="34"/>
        <v>795010</v>
      </c>
      <c r="BM45" s="6">
        <f t="shared" si="35"/>
        <v>0</v>
      </c>
      <c r="BN45" s="6">
        <f t="shared" si="36"/>
        <v>0</v>
      </c>
      <c r="BO45" s="6">
        <f t="shared" si="37"/>
        <v>0</v>
      </c>
      <c r="BP45" s="11">
        <f t="shared" si="38"/>
        <v>0</v>
      </c>
      <c r="BQ45" s="11">
        <f t="shared" si="39"/>
        <v>0</v>
      </c>
      <c r="BR45" s="11">
        <f t="shared" si="40"/>
        <v>0</v>
      </c>
      <c r="BS45" s="11">
        <f t="shared" ref="BS45:BU45" si="138">+(1-BP45)</f>
        <v>1</v>
      </c>
      <c r="BT45" s="11">
        <f t="shared" si="138"/>
        <v>1</v>
      </c>
      <c r="BU45" s="11">
        <f t="shared" si="138"/>
        <v>1</v>
      </c>
      <c r="BV45" s="19" t="e">
        <f t="shared" ref="BV45:BX45" si="139">ROUND(1/BP45,2)</f>
        <v>#DIV/0!</v>
      </c>
      <c r="BW45" s="19" t="e">
        <f t="shared" si="139"/>
        <v>#DIV/0!</v>
      </c>
      <c r="BX45" s="19" t="e">
        <f t="shared" si="139"/>
        <v>#DIV/0!</v>
      </c>
      <c r="BY45" s="7">
        <f t="shared" si="122"/>
        <v>0</v>
      </c>
    </row>
    <row r="46" spans="2:77">
      <c r="B46" s="151">
        <f>+Carga!K46</f>
        <v>0</v>
      </c>
      <c r="C46" s="153">
        <f>+'Calculadora VDFA'!$M$6</f>
        <v>0.61</v>
      </c>
      <c r="E46" s="17">
        <f>Carga!L46</f>
        <v>0</v>
      </c>
      <c r="F46" s="17">
        <f t="shared" si="123"/>
        <v>0</v>
      </c>
      <c r="G46" s="18">
        <f>+MAX(Carga!$D$8,MIN(Carga!$F$8,Carga!$E$8+$C46))</f>
        <v>0.61</v>
      </c>
      <c r="H46" s="17">
        <f>F46*G46*Carga!P46/360</f>
        <v>0</v>
      </c>
      <c r="I46" s="155">
        <f t="shared" si="45"/>
        <v>-2.5320332497358322E-9</v>
      </c>
      <c r="J46" s="17">
        <f t="shared" si="46"/>
        <v>0</v>
      </c>
      <c r="K46" s="17">
        <f t="shared" si="47"/>
        <v>0</v>
      </c>
      <c r="L46" s="17">
        <f t="shared" si="0"/>
        <v>0</v>
      </c>
      <c r="N46" s="17">
        <f t="shared" si="1"/>
        <v>0</v>
      </c>
      <c r="O46" s="17">
        <f t="shared" si="48"/>
        <v>0</v>
      </c>
      <c r="P46" s="18">
        <f>+MAX(Carga!$D$9,MIN(Carga!$F$9,Carga!$E$9+$C46))</f>
        <v>0.63</v>
      </c>
      <c r="Q46" s="17">
        <f>+O46*P46*Carga!P46/360</f>
        <v>0</v>
      </c>
      <c r="R46" s="17">
        <f t="shared" si="49"/>
        <v>0</v>
      </c>
      <c r="S46" s="17">
        <f t="shared" si="117"/>
        <v>0</v>
      </c>
      <c r="T46" s="17">
        <f t="shared" si="61"/>
        <v>0</v>
      </c>
      <c r="U46" s="17">
        <f t="shared" si="4"/>
        <v>0</v>
      </c>
      <c r="W46" s="17">
        <f t="shared" si="5"/>
        <v>0</v>
      </c>
      <c r="X46" s="17">
        <f t="shared" si="50"/>
        <v>0</v>
      </c>
      <c r="Y46" s="18">
        <f>+MAX(Carga!$D$10,MIN(Carga!$F$10,Carga!$E$10+$C46))</f>
        <v>0.61</v>
      </c>
      <c r="Z46" s="17">
        <f t="shared" si="51"/>
        <v>0</v>
      </c>
      <c r="AA46" s="17">
        <f t="shared" si="6"/>
        <v>0</v>
      </c>
      <c r="AB46" s="17">
        <f t="shared" si="7"/>
        <v>0</v>
      </c>
      <c r="AC46" s="17">
        <f t="shared" si="8"/>
        <v>0</v>
      </c>
      <c r="AE46" s="17">
        <f t="shared" si="9"/>
        <v>0</v>
      </c>
      <c r="AF46" s="17">
        <f t="shared" si="52"/>
        <v>100</v>
      </c>
      <c r="AG46" s="16" t="b">
        <f>IF(MAX(AE47:AE$65)&gt;0,FALSE,TRUE)</f>
        <v>1</v>
      </c>
      <c r="AH46" s="17">
        <f t="shared" si="11"/>
        <v>0</v>
      </c>
      <c r="AI46" s="17">
        <f t="shared" si="12"/>
        <v>0</v>
      </c>
      <c r="AJ46" s="17">
        <f t="shared" si="13"/>
        <v>0</v>
      </c>
      <c r="AL46" s="16">
        <f t="shared" si="118"/>
        <v>-44789</v>
      </c>
      <c r="AN46" s="17">
        <f t="shared" si="15"/>
        <v>0</v>
      </c>
      <c r="AO46" s="17" t="e">
        <f t="shared" si="16"/>
        <v>#NUM!</v>
      </c>
      <c r="AP46" s="16" t="e">
        <f t="shared" si="17"/>
        <v>#NUM!</v>
      </c>
      <c r="AR46" s="17">
        <f t="shared" si="18"/>
        <v>0</v>
      </c>
      <c r="AS46" s="17" t="e">
        <f t="shared" si="19"/>
        <v>#NUM!</v>
      </c>
      <c r="AT46" s="17" t="e">
        <f t="shared" si="20"/>
        <v>#NUM!</v>
      </c>
      <c r="AV46" s="17">
        <f t="shared" si="21"/>
        <v>0</v>
      </c>
      <c r="AW46" s="17" t="e">
        <f t="shared" si="22"/>
        <v>#NUM!</v>
      </c>
      <c r="AX46" s="17" t="e">
        <f t="shared" si="23"/>
        <v>#NUM!</v>
      </c>
      <c r="AZ46" s="17">
        <f t="shared" si="24"/>
        <v>0</v>
      </c>
      <c r="BA46" s="17" t="e">
        <f t="shared" si="25"/>
        <v>#NUM!</v>
      </c>
      <c r="BB46" s="17" t="e">
        <f t="shared" si="26"/>
        <v>#NUM!</v>
      </c>
      <c r="BD46" s="17">
        <f t="shared" si="27"/>
        <v>0</v>
      </c>
      <c r="BE46" s="17">
        <f t="shared" si="28"/>
        <v>0</v>
      </c>
      <c r="BF46" s="17">
        <f t="shared" si="29"/>
        <v>0</v>
      </c>
      <c r="BG46" s="17">
        <f t="shared" si="30"/>
        <v>0</v>
      </c>
      <c r="BI46" s="17" t="e">
        <f t="shared" si="31"/>
        <v>#DIV/0!</v>
      </c>
      <c r="BJ46" s="17" t="e">
        <f t="shared" si="32"/>
        <v>#DIV/0!</v>
      </c>
      <c r="BK46" s="17">
        <f t="shared" ca="1" si="119"/>
        <v>0</v>
      </c>
      <c r="BL46" s="17">
        <f t="shared" si="34"/>
        <v>795010</v>
      </c>
      <c r="BM46" s="17">
        <f t="shared" si="35"/>
        <v>0</v>
      </c>
      <c r="BN46" s="17">
        <f t="shared" si="36"/>
        <v>0</v>
      </c>
      <c r="BO46" s="17">
        <f t="shared" si="37"/>
        <v>0</v>
      </c>
      <c r="BP46" s="18">
        <f t="shared" si="38"/>
        <v>0</v>
      </c>
      <c r="BQ46" s="18">
        <f t="shared" si="39"/>
        <v>0</v>
      </c>
      <c r="BR46" s="18">
        <f t="shared" si="40"/>
        <v>0</v>
      </c>
      <c r="BS46" s="18">
        <f t="shared" ref="BS46:BU46" si="140">+(1-BP46)</f>
        <v>1</v>
      </c>
      <c r="BT46" s="18">
        <f t="shared" si="140"/>
        <v>1</v>
      </c>
      <c r="BU46" s="18">
        <f t="shared" si="140"/>
        <v>1</v>
      </c>
      <c r="BV46" s="20" t="e">
        <f t="shared" ref="BV46:BX46" si="141">ROUND(1/BP46,2)</f>
        <v>#DIV/0!</v>
      </c>
      <c r="BW46" s="20" t="e">
        <f t="shared" si="141"/>
        <v>#DIV/0!</v>
      </c>
      <c r="BX46" s="20" t="e">
        <f t="shared" si="141"/>
        <v>#DIV/0!</v>
      </c>
      <c r="BY46" s="15">
        <f t="shared" si="122"/>
        <v>0</v>
      </c>
    </row>
    <row r="47" spans="2:77">
      <c r="B47" s="151">
        <f>+Carga!K47</f>
        <v>0</v>
      </c>
      <c r="C47" s="152">
        <f>+'Calculadora VDFA'!$M$6</f>
        <v>0.61</v>
      </c>
      <c r="E47" s="6">
        <f>Carga!L47</f>
        <v>0</v>
      </c>
      <c r="F47" s="6">
        <f t="shared" si="123"/>
        <v>0</v>
      </c>
      <c r="G47" s="11">
        <f>+MAX(Carga!$D$8,MIN(Carga!$F$8,Carga!$E$8+$C47))</f>
        <v>0.61</v>
      </c>
      <c r="H47" s="6">
        <f>F47*G47*Carga!P47/360</f>
        <v>0</v>
      </c>
      <c r="I47" s="154">
        <f t="shared" si="45"/>
        <v>-2.5320332497358322E-9</v>
      </c>
      <c r="J47" s="6">
        <f t="shared" si="46"/>
        <v>0</v>
      </c>
      <c r="K47" s="6">
        <f t="shared" si="47"/>
        <v>0</v>
      </c>
      <c r="L47" s="6">
        <f t="shared" si="0"/>
        <v>0</v>
      </c>
      <c r="N47" s="6">
        <f t="shared" si="1"/>
        <v>0</v>
      </c>
      <c r="O47" s="6">
        <f t="shared" si="48"/>
        <v>0</v>
      </c>
      <c r="P47" s="11">
        <f>+MAX(Carga!$D$9,MIN(Carga!$F$9,Carga!$E$9+$C47))</f>
        <v>0.63</v>
      </c>
      <c r="Q47" s="6">
        <f>+O47*P47*Carga!P47/360</f>
        <v>0</v>
      </c>
      <c r="R47" s="6">
        <f t="shared" si="49"/>
        <v>0</v>
      </c>
      <c r="S47" s="6">
        <f t="shared" si="117"/>
        <v>0</v>
      </c>
      <c r="T47" s="6">
        <f t="shared" si="61"/>
        <v>0</v>
      </c>
      <c r="U47" s="6">
        <f t="shared" si="4"/>
        <v>0</v>
      </c>
      <c r="W47" s="6">
        <f t="shared" si="5"/>
        <v>0</v>
      </c>
      <c r="X47" s="6">
        <f t="shared" si="50"/>
        <v>0</v>
      </c>
      <c r="Y47" s="11">
        <f>+MAX(Carga!$D$10,MIN(Carga!$F$10,Carga!$E$10+$C47))</f>
        <v>0.61</v>
      </c>
      <c r="Z47" s="6">
        <f t="shared" si="51"/>
        <v>0</v>
      </c>
      <c r="AA47" s="6">
        <f t="shared" si="6"/>
        <v>0</v>
      </c>
      <c r="AB47" s="6">
        <f t="shared" si="7"/>
        <v>0</v>
      </c>
      <c r="AC47" s="6">
        <f t="shared" si="8"/>
        <v>0</v>
      </c>
      <c r="AE47" s="6">
        <f t="shared" si="9"/>
        <v>0</v>
      </c>
      <c r="AF47" s="6">
        <f t="shared" si="52"/>
        <v>100</v>
      </c>
      <c r="AG47" s="11" t="b">
        <f>IF(MAX(AE$65:AE68)&gt;0,FALSE,TRUE)</f>
        <v>0</v>
      </c>
      <c r="AH47" s="6">
        <f t="shared" si="11"/>
        <v>0</v>
      </c>
      <c r="AI47" s="6">
        <f t="shared" si="12"/>
        <v>0</v>
      </c>
      <c r="AJ47" s="6">
        <f t="shared" si="13"/>
        <v>0</v>
      </c>
      <c r="AL47" s="6">
        <f t="shared" si="118"/>
        <v>-44789</v>
      </c>
      <c r="AN47" s="6">
        <f t="shared" si="15"/>
        <v>0</v>
      </c>
      <c r="AO47" s="6" t="e">
        <f t="shared" si="16"/>
        <v>#NUM!</v>
      </c>
      <c r="AP47" s="6" t="e">
        <f t="shared" si="17"/>
        <v>#NUM!</v>
      </c>
      <c r="AR47" s="6">
        <f t="shared" si="18"/>
        <v>0</v>
      </c>
      <c r="AS47" s="6" t="e">
        <f t="shared" si="19"/>
        <v>#NUM!</v>
      </c>
      <c r="AT47" s="6" t="e">
        <f t="shared" si="20"/>
        <v>#NUM!</v>
      </c>
      <c r="AV47" s="6">
        <f t="shared" si="21"/>
        <v>0</v>
      </c>
      <c r="AW47" s="6" t="e">
        <f t="shared" si="22"/>
        <v>#NUM!</v>
      </c>
      <c r="AX47" s="6" t="e">
        <f t="shared" si="23"/>
        <v>#NUM!</v>
      </c>
      <c r="AZ47" s="6">
        <f t="shared" si="24"/>
        <v>0</v>
      </c>
      <c r="BA47" s="6" t="e">
        <f t="shared" si="25"/>
        <v>#NUM!</v>
      </c>
      <c r="BB47" s="6" t="e">
        <f t="shared" si="26"/>
        <v>#NUM!</v>
      </c>
      <c r="BD47" s="6">
        <f t="shared" si="27"/>
        <v>0</v>
      </c>
      <c r="BE47" s="6">
        <f t="shared" si="28"/>
        <v>0</v>
      </c>
      <c r="BF47" s="6">
        <f t="shared" si="29"/>
        <v>0</v>
      </c>
      <c r="BG47" s="6">
        <f t="shared" si="30"/>
        <v>0</v>
      </c>
      <c r="BI47" s="6" t="e">
        <f t="shared" si="31"/>
        <v>#DIV/0!</v>
      </c>
      <c r="BJ47" s="6" t="e">
        <f t="shared" si="32"/>
        <v>#DIV/0!</v>
      </c>
      <c r="BK47" s="6">
        <f t="shared" ca="1" si="119"/>
        <v>0</v>
      </c>
      <c r="BL47" s="6">
        <f t="shared" si="34"/>
        <v>795010</v>
      </c>
      <c r="BM47" s="6">
        <f t="shared" si="35"/>
        <v>0</v>
      </c>
      <c r="BN47" s="6">
        <f t="shared" si="36"/>
        <v>0</v>
      </c>
      <c r="BO47" s="6">
        <f t="shared" si="37"/>
        <v>0</v>
      </c>
      <c r="BP47" s="11">
        <f t="shared" si="38"/>
        <v>0</v>
      </c>
      <c r="BQ47" s="11">
        <f t="shared" si="39"/>
        <v>0</v>
      </c>
      <c r="BR47" s="11">
        <f t="shared" si="40"/>
        <v>0</v>
      </c>
      <c r="BS47" s="11">
        <f t="shared" ref="BS47:BU47" si="142">+(1-BP47)</f>
        <v>1</v>
      </c>
      <c r="BT47" s="11">
        <f t="shared" si="142"/>
        <v>1</v>
      </c>
      <c r="BU47" s="11">
        <f t="shared" si="142"/>
        <v>1</v>
      </c>
      <c r="BV47" s="19" t="e">
        <f t="shared" ref="BV47:BX47" si="143">ROUND(1/BP47,2)</f>
        <v>#DIV/0!</v>
      </c>
      <c r="BW47" s="19" t="e">
        <f t="shared" si="143"/>
        <v>#DIV/0!</v>
      </c>
      <c r="BX47" s="19" t="e">
        <f t="shared" si="143"/>
        <v>#DIV/0!</v>
      </c>
      <c r="BY47" s="7">
        <f t="shared" si="122"/>
        <v>0</v>
      </c>
    </row>
    <row r="48" spans="2:77">
      <c r="B48" s="151">
        <f>+Carga!K48</f>
        <v>0</v>
      </c>
      <c r="C48" s="153">
        <f>+'Calculadora VDFA'!$M$6</f>
        <v>0.61</v>
      </c>
      <c r="E48" s="17">
        <f>Carga!L48</f>
        <v>0</v>
      </c>
      <c r="F48" s="17">
        <f t="shared" si="123"/>
        <v>0</v>
      </c>
      <c r="G48" s="18">
        <f>+MAX(Carga!$D$8,MIN(Carga!$F$8,Carga!$E$8+$C48))</f>
        <v>0.61</v>
      </c>
      <c r="H48" s="17">
        <f>F48*G48*Carga!P48/360</f>
        <v>0</v>
      </c>
      <c r="I48" s="155">
        <f t="shared" si="45"/>
        <v>-2.5320332497358322E-9</v>
      </c>
      <c r="J48" s="17">
        <f t="shared" si="46"/>
        <v>0</v>
      </c>
      <c r="K48" s="17">
        <f t="shared" si="47"/>
        <v>0</v>
      </c>
      <c r="L48" s="17">
        <f t="shared" si="0"/>
        <v>0</v>
      </c>
      <c r="N48" s="17">
        <f t="shared" si="1"/>
        <v>0</v>
      </c>
      <c r="O48" s="17">
        <f t="shared" si="48"/>
        <v>0</v>
      </c>
      <c r="P48" s="18">
        <f>+MAX(Carga!$D$9,MIN(Carga!$F$9,Carga!$E$9+$C48))</f>
        <v>0.63</v>
      </c>
      <c r="Q48" s="17">
        <f>+O48*P48*Carga!P48/360</f>
        <v>0</v>
      </c>
      <c r="R48" s="17">
        <f t="shared" si="49"/>
        <v>0</v>
      </c>
      <c r="S48" s="17">
        <f t="shared" si="117"/>
        <v>0</v>
      </c>
      <c r="T48" s="17">
        <f t="shared" si="61"/>
        <v>0</v>
      </c>
      <c r="U48" s="17">
        <f t="shared" si="4"/>
        <v>0</v>
      </c>
      <c r="W48" s="17">
        <f t="shared" si="5"/>
        <v>0</v>
      </c>
      <c r="X48" s="17">
        <f t="shared" si="50"/>
        <v>0</v>
      </c>
      <c r="Y48" s="18">
        <f>+MAX(Carga!$D$10,MIN(Carga!$F$10,Carga!$E$10+$C48))</f>
        <v>0.61</v>
      </c>
      <c r="Z48" s="17">
        <f t="shared" si="51"/>
        <v>0</v>
      </c>
      <c r="AA48" s="17">
        <f t="shared" si="6"/>
        <v>0</v>
      </c>
      <c r="AB48" s="17">
        <f t="shared" si="7"/>
        <v>0</v>
      </c>
      <c r="AC48" s="17">
        <f t="shared" si="8"/>
        <v>0</v>
      </c>
      <c r="AE48" s="17">
        <f t="shared" si="9"/>
        <v>0</v>
      </c>
      <c r="AF48" s="17">
        <f t="shared" si="52"/>
        <v>100</v>
      </c>
      <c r="AG48" s="16" t="b">
        <f>IF(MAX(AE49:AE$65)&gt;0,FALSE,TRUE)</f>
        <v>1</v>
      </c>
      <c r="AH48" s="17">
        <f t="shared" si="11"/>
        <v>0</v>
      </c>
      <c r="AI48" s="17">
        <f t="shared" si="12"/>
        <v>0</v>
      </c>
      <c r="AJ48" s="17">
        <f t="shared" si="13"/>
        <v>0</v>
      </c>
      <c r="AL48" s="16">
        <f t="shared" si="118"/>
        <v>-44789</v>
      </c>
      <c r="AN48" s="17">
        <f t="shared" si="15"/>
        <v>0</v>
      </c>
      <c r="AO48" s="17" t="e">
        <f t="shared" si="16"/>
        <v>#NUM!</v>
      </c>
      <c r="AP48" s="16" t="e">
        <f t="shared" si="17"/>
        <v>#NUM!</v>
      </c>
      <c r="AR48" s="17">
        <f t="shared" si="18"/>
        <v>0</v>
      </c>
      <c r="AS48" s="17" t="e">
        <f t="shared" si="19"/>
        <v>#NUM!</v>
      </c>
      <c r="AT48" s="17" t="e">
        <f t="shared" si="20"/>
        <v>#NUM!</v>
      </c>
      <c r="AV48" s="17">
        <f t="shared" si="21"/>
        <v>0</v>
      </c>
      <c r="AW48" s="17" t="e">
        <f t="shared" si="22"/>
        <v>#NUM!</v>
      </c>
      <c r="AX48" s="17" t="e">
        <f t="shared" si="23"/>
        <v>#NUM!</v>
      </c>
      <c r="AZ48" s="17">
        <f t="shared" si="24"/>
        <v>0</v>
      </c>
      <c r="BA48" s="17" t="e">
        <f t="shared" si="25"/>
        <v>#NUM!</v>
      </c>
      <c r="BB48" s="17" t="e">
        <f t="shared" si="26"/>
        <v>#NUM!</v>
      </c>
      <c r="BD48" s="17">
        <f t="shared" si="27"/>
        <v>0</v>
      </c>
      <c r="BE48" s="17">
        <f t="shared" si="28"/>
        <v>0</v>
      </c>
      <c r="BF48" s="17">
        <f t="shared" si="29"/>
        <v>0</v>
      </c>
      <c r="BG48" s="17">
        <f t="shared" si="30"/>
        <v>0</v>
      </c>
      <c r="BI48" s="17" t="e">
        <f t="shared" si="31"/>
        <v>#DIV/0!</v>
      </c>
      <c r="BJ48" s="17" t="e">
        <f t="shared" si="32"/>
        <v>#DIV/0!</v>
      </c>
      <c r="BK48" s="17">
        <f t="shared" ca="1" si="119"/>
        <v>0</v>
      </c>
      <c r="BL48" s="17">
        <f t="shared" si="34"/>
        <v>795010</v>
      </c>
      <c r="BM48" s="17">
        <f t="shared" si="35"/>
        <v>0</v>
      </c>
      <c r="BN48" s="17">
        <f t="shared" si="36"/>
        <v>0</v>
      </c>
      <c r="BO48" s="17">
        <f t="shared" si="37"/>
        <v>0</v>
      </c>
      <c r="BP48" s="18">
        <f t="shared" si="38"/>
        <v>0</v>
      </c>
      <c r="BQ48" s="18">
        <f t="shared" si="39"/>
        <v>0</v>
      </c>
      <c r="BR48" s="18">
        <f t="shared" si="40"/>
        <v>0</v>
      </c>
      <c r="BS48" s="18">
        <f t="shared" ref="BS48:BU48" si="144">+(1-BP48)</f>
        <v>1</v>
      </c>
      <c r="BT48" s="18">
        <f t="shared" si="144"/>
        <v>1</v>
      </c>
      <c r="BU48" s="18">
        <f t="shared" si="144"/>
        <v>1</v>
      </c>
      <c r="BV48" s="20" t="e">
        <f t="shared" ref="BV48:BX48" si="145">ROUND(1/BP48,2)</f>
        <v>#DIV/0!</v>
      </c>
      <c r="BW48" s="20" t="e">
        <f t="shared" si="145"/>
        <v>#DIV/0!</v>
      </c>
      <c r="BX48" s="20" t="e">
        <f t="shared" si="145"/>
        <v>#DIV/0!</v>
      </c>
      <c r="BY48" s="15">
        <f t="shared" si="122"/>
        <v>0</v>
      </c>
    </row>
    <row r="49" spans="2:77">
      <c r="B49" s="151">
        <f>+Carga!K49</f>
        <v>0</v>
      </c>
      <c r="C49" s="152">
        <f>+'Calculadora VDFA'!$M$6</f>
        <v>0.61</v>
      </c>
      <c r="E49" s="6">
        <f>Carga!L49</f>
        <v>0</v>
      </c>
      <c r="F49" s="6">
        <f t="shared" si="123"/>
        <v>0</v>
      </c>
      <c r="G49" s="11">
        <f>+MAX(Carga!$D$8,MIN(Carga!$F$8,Carga!$E$8+$C49))</f>
        <v>0.61</v>
      </c>
      <c r="H49" s="6">
        <f>F49*G49*Carga!P49/360</f>
        <v>0</v>
      </c>
      <c r="I49" s="154">
        <f t="shared" si="45"/>
        <v>-2.5320332497358322E-9</v>
      </c>
      <c r="J49" s="6">
        <f t="shared" si="46"/>
        <v>0</v>
      </c>
      <c r="K49" s="6">
        <f t="shared" si="47"/>
        <v>0</v>
      </c>
      <c r="L49" s="6">
        <f t="shared" si="0"/>
        <v>0</v>
      </c>
      <c r="N49" s="6">
        <f t="shared" si="1"/>
        <v>0</v>
      </c>
      <c r="O49" s="6">
        <f t="shared" si="48"/>
        <v>0</v>
      </c>
      <c r="P49" s="11">
        <f>+MAX(Carga!$D$9,MIN(Carga!$F$9,Carga!$E$9+$C49))</f>
        <v>0.63</v>
      </c>
      <c r="Q49" s="6">
        <f>+O49*P49*Carga!P49/360</f>
        <v>0</v>
      </c>
      <c r="R49" s="6">
        <f t="shared" si="49"/>
        <v>0</v>
      </c>
      <c r="S49" s="6">
        <f t="shared" si="117"/>
        <v>0</v>
      </c>
      <c r="T49" s="6">
        <f t="shared" si="61"/>
        <v>0</v>
      </c>
      <c r="U49" s="6">
        <f t="shared" si="4"/>
        <v>0</v>
      </c>
      <c r="W49" s="6">
        <f t="shared" si="5"/>
        <v>0</v>
      </c>
      <c r="X49" s="6">
        <f t="shared" si="50"/>
        <v>0</v>
      </c>
      <c r="Y49" s="11">
        <f>+MAX(Carga!$D$10,MIN(Carga!$F$10,Carga!$E$10+$C49))</f>
        <v>0.61</v>
      </c>
      <c r="Z49" s="6">
        <f t="shared" si="51"/>
        <v>0</v>
      </c>
      <c r="AA49" s="6">
        <f t="shared" si="6"/>
        <v>0</v>
      </c>
      <c r="AB49" s="6">
        <f t="shared" si="7"/>
        <v>0</v>
      </c>
      <c r="AC49" s="6">
        <f t="shared" si="8"/>
        <v>0</v>
      </c>
      <c r="AE49" s="6">
        <f t="shared" si="9"/>
        <v>0</v>
      </c>
      <c r="AF49" s="6">
        <f t="shared" si="52"/>
        <v>100</v>
      </c>
      <c r="AG49" s="11" t="b">
        <f>IF(MAX(AE$65:AE70)&gt;0,FALSE,TRUE)</f>
        <v>0</v>
      </c>
      <c r="AH49" s="6">
        <f t="shared" si="11"/>
        <v>0</v>
      </c>
      <c r="AI49" s="6">
        <f t="shared" si="12"/>
        <v>0</v>
      </c>
      <c r="AJ49" s="6">
        <f t="shared" si="13"/>
        <v>0</v>
      </c>
      <c r="AL49" s="6">
        <f t="shared" si="118"/>
        <v>-44789</v>
      </c>
      <c r="AN49" s="6">
        <f t="shared" si="15"/>
        <v>0</v>
      </c>
      <c r="AO49" s="6" t="e">
        <f t="shared" si="16"/>
        <v>#NUM!</v>
      </c>
      <c r="AP49" s="6" t="e">
        <f t="shared" si="17"/>
        <v>#NUM!</v>
      </c>
      <c r="AR49" s="6">
        <f t="shared" si="18"/>
        <v>0</v>
      </c>
      <c r="AS49" s="6" t="e">
        <f t="shared" si="19"/>
        <v>#NUM!</v>
      </c>
      <c r="AT49" s="6" t="e">
        <f t="shared" si="20"/>
        <v>#NUM!</v>
      </c>
      <c r="AV49" s="6">
        <f t="shared" si="21"/>
        <v>0</v>
      </c>
      <c r="AW49" s="6" t="e">
        <f t="shared" si="22"/>
        <v>#NUM!</v>
      </c>
      <c r="AX49" s="6" t="e">
        <f t="shared" si="23"/>
        <v>#NUM!</v>
      </c>
      <c r="AZ49" s="6">
        <f t="shared" si="24"/>
        <v>0</v>
      </c>
      <c r="BA49" s="6" t="e">
        <f t="shared" si="25"/>
        <v>#NUM!</v>
      </c>
      <c r="BB49" s="6" t="e">
        <f t="shared" si="26"/>
        <v>#NUM!</v>
      </c>
      <c r="BD49" s="6">
        <f t="shared" si="27"/>
        <v>0</v>
      </c>
      <c r="BE49" s="6">
        <f t="shared" si="28"/>
        <v>0</v>
      </c>
      <c r="BF49" s="6">
        <f t="shared" si="29"/>
        <v>0</v>
      </c>
      <c r="BG49" s="6">
        <f t="shared" si="30"/>
        <v>0</v>
      </c>
      <c r="BI49" s="6" t="e">
        <f t="shared" si="31"/>
        <v>#DIV/0!</v>
      </c>
      <c r="BJ49" s="6" t="e">
        <f t="shared" si="32"/>
        <v>#DIV/0!</v>
      </c>
      <c r="BK49" s="6">
        <f t="shared" ca="1" si="119"/>
        <v>0</v>
      </c>
      <c r="BL49" s="6">
        <f t="shared" si="34"/>
        <v>795010</v>
      </c>
      <c r="BM49" s="6">
        <f t="shared" si="35"/>
        <v>0</v>
      </c>
      <c r="BN49" s="6">
        <f t="shared" si="36"/>
        <v>0</v>
      </c>
      <c r="BO49" s="6">
        <f t="shared" si="37"/>
        <v>0</v>
      </c>
      <c r="BP49" s="11">
        <f t="shared" si="38"/>
        <v>0</v>
      </c>
      <c r="BQ49" s="11">
        <f t="shared" si="39"/>
        <v>0</v>
      </c>
      <c r="BR49" s="11">
        <f t="shared" si="40"/>
        <v>0</v>
      </c>
      <c r="BS49" s="11">
        <f t="shared" ref="BS49:BU49" si="146">+(1-BP49)</f>
        <v>1</v>
      </c>
      <c r="BT49" s="11">
        <f t="shared" si="146"/>
        <v>1</v>
      </c>
      <c r="BU49" s="11">
        <f t="shared" si="146"/>
        <v>1</v>
      </c>
      <c r="BV49" s="19" t="e">
        <f t="shared" ref="BV49:BX49" si="147">ROUND(1/BP49,2)</f>
        <v>#DIV/0!</v>
      </c>
      <c r="BW49" s="19" t="e">
        <f t="shared" si="147"/>
        <v>#DIV/0!</v>
      </c>
      <c r="BX49" s="19" t="e">
        <f t="shared" si="147"/>
        <v>#DIV/0!</v>
      </c>
      <c r="BY49" s="7">
        <f t="shared" si="122"/>
        <v>0</v>
      </c>
    </row>
    <row r="50" spans="2:77">
      <c r="B50" s="151">
        <f>+Carga!K50</f>
        <v>0</v>
      </c>
      <c r="C50" s="153">
        <f>+'Calculadora VDFA'!$M$6</f>
        <v>0.61</v>
      </c>
      <c r="E50" s="17">
        <f>Carga!L50</f>
        <v>0</v>
      </c>
      <c r="F50" s="17">
        <f t="shared" si="123"/>
        <v>0</v>
      </c>
      <c r="G50" s="18">
        <f>+MAX(Carga!$D$8,MIN(Carga!$F$8,Carga!$E$8+$C50))</f>
        <v>0.61</v>
      </c>
      <c r="H50" s="17">
        <f>F50*G50*Carga!P50/360</f>
        <v>0</v>
      </c>
      <c r="I50" s="155">
        <f t="shared" si="45"/>
        <v>-2.5320332497358322E-9</v>
      </c>
      <c r="J50" s="17">
        <f t="shared" si="46"/>
        <v>0</v>
      </c>
      <c r="K50" s="17">
        <f t="shared" si="47"/>
        <v>0</v>
      </c>
      <c r="L50" s="17">
        <f t="shared" si="0"/>
        <v>0</v>
      </c>
      <c r="N50" s="17">
        <f t="shared" si="1"/>
        <v>0</v>
      </c>
      <c r="O50" s="17">
        <f t="shared" si="48"/>
        <v>0</v>
      </c>
      <c r="P50" s="18">
        <f>+MAX(Carga!$D$9,MIN(Carga!$F$9,Carga!$E$9+$C50))</f>
        <v>0.63</v>
      </c>
      <c r="Q50" s="17">
        <f>+O50*P50*Carga!P50/360</f>
        <v>0</v>
      </c>
      <c r="R50" s="17">
        <f t="shared" si="49"/>
        <v>0</v>
      </c>
      <c r="S50" s="17">
        <f t="shared" si="117"/>
        <v>0</v>
      </c>
      <c r="T50" s="17">
        <f t="shared" si="61"/>
        <v>0</v>
      </c>
      <c r="U50" s="17">
        <f t="shared" si="4"/>
        <v>0</v>
      </c>
      <c r="W50" s="17">
        <f t="shared" si="5"/>
        <v>0</v>
      </c>
      <c r="X50" s="17">
        <f t="shared" si="50"/>
        <v>0</v>
      </c>
      <c r="Y50" s="18">
        <f>+MAX(Carga!$D$10,MIN(Carga!$F$10,Carga!$E$10+$C50))</f>
        <v>0.61</v>
      </c>
      <c r="Z50" s="17">
        <f t="shared" si="51"/>
        <v>0</v>
      </c>
      <c r="AA50" s="17">
        <f t="shared" si="6"/>
        <v>0</v>
      </c>
      <c r="AB50" s="17">
        <f t="shared" si="7"/>
        <v>0</v>
      </c>
      <c r="AC50" s="17">
        <f t="shared" si="8"/>
        <v>0</v>
      </c>
      <c r="AE50" s="17">
        <f t="shared" si="9"/>
        <v>0</v>
      </c>
      <c r="AF50" s="17">
        <f t="shared" si="52"/>
        <v>100</v>
      </c>
      <c r="AG50" s="16" t="b">
        <f>IF(MAX(AE51:AE$65)&gt;0,FALSE,TRUE)</f>
        <v>1</v>
      </c>
      <c r="AH50" s="17">
        <f t="shared" si="11"/>
        <v>0</v>
      </c>
      <c r="AI50" s="17">
        <f t="shared" si="12"/>
        <v>0</v>
      </c>
      <c r="AJ50" s="17">
        <f t="shared" si="13"/>
        <v>0</v>
      </c>
      <c r="AL50" s="16">
        <f t="shared" si="118"/>
        <v>-44789</v>
      </c>
      <c r="AN50" s="17">
        <f t="shared" si="15"/>
        <v>0</v>
      </c>
      <c r="AO50" s="17" t="e">
        <f t="shared" si="16"/>
        <v>#NUM!</v>
      </c>
      <c r="AP50" s="16" t="e">
        <f t="shared" si="17"/>
        <v>#NUM!</v>
      </c>
      <c r="AR50" s="17">
        <f t="shared" si="18"/>
        <v>0</v>
      </c>
      <c r="AS50" s="17" t="e">
        <f t="shared" si="19"/>
        <v>#NUM!</v>
      </c>
      <c r="AT50" s="17" t="e">
        <f t="shared" si="20"/>
        <v>#NUM!</v>
      </c>
      <c r="AV50" s="17">
        <f t="shared" si="21"/>
        <v>0</v>
      </c>
      <c r="AW50" s="17" t="e">
        <f t="shared" si="22"/>
        <v>#NUM!</v>
      </c>
      <c r="AX50" s="17" t="e">
        <f t="shared" si="23"/>
        <v>#NUM!</v>
      </c>
      <c r="AZ50" s="17">
        <f t="shared" si="24"/>
        <v>0</v>
      </c>
      <c r="BA50" s="17" t="e">
        <f t="shared" si="25"/>
        <v>#NUM!</v>
      </c>
      <c r="BB50" s="17" t="e">
        <f t="shared" si="26"/>
        <v>#NUM!</v>
      </c>
      <c r="BD50" s="17">
        <f t="shared" si="27"/>
        <v>0</v>
      </c>
      <c r="BE50" s="17">
        <f t="shared" si="28"/>
        <v>0</v>
      </c>
      <c r="BF50" s="17">
        <f t="shared" si="29"/>
        <v>0</v>
      </c>
      <c r="BG50" s="17">
        <f t="shared" si="30"/>
        <v>0</v>
      </c>
      <c r="BI50" s="17" t="e">
        <f t="shared" si="31"/>
        <v>#DIV/0!</v>
      </c>
      <c r="BJ50" s="17" t="e">
        <f t="shared" si="32"/>
        <v>#DIV/0!</v>
      </c>
      <c r="BK50" s="17">
        <f t="shared" ca="1" si="119"/>
        <v>0</v>
      </c>
      <c r="BL50" s="17">
        <f t="shared" si="34"/>
        <v>795010</v>
      </c>
      <c r="BM50" s="17">
        <f t="shared" si="35"/>
        <v>0</v>
      </c>
      <c r="BN50" s="17">
        <f t="shared" si="36"/>
        <v>0</v>
      </c>
      <c r="BO50" s="17">
        <f t="shared" si="37"/>
        <v>0</v>
      </c>
      <c r="BP50" s="18">
        <f t="shared" si="38"/>
        <v>0</v>
      </c>
      <c r="BQ50" s="18">
        <f t="shared" si="39"/>
        <v>0</v>
      </c>
      <c r="BR50" s="18">
        <f t="shared" si="40"/>
        <v>0</v>
      </c>
      <c r="BS50" s="18">
        <f t="shared" ref="BS50:BU50" si="148">+(1-BP50)</f>
        <v>1</v>
      </c>
      <c r="BT50" s="18">
        <f t="shared" si="148"/>
        <v>1</v>
      </c>
      <c r="BU50" s="18">
        <f t="shared" si="148"/>
        <v>1</v>
      </c>
      <c r="BV50" s="20" t="e">
        <f t="shared" ref="BV50:BX50" si="149">ROUND(1/BP50,2)</f>
        <v>#DIV/0!</v>
      </c>
      <c r="BW50" s="20" t="e">
        <f t="shared" si="149"/>
        <v>#DIV/0!</v>
      </c>
      <c r="BX50" s="20" t="e">
        <f t="shared" si="149"/>
        <v>#DIV/0!</v>
      </c>
      <c r="BY50" s="15">
        <f t="shared" si="122"/>
        <v>0</v>
      </c>
    </row>
    <row r="51" spans="2:77">
      <c r="B51" s="151">
        <f>+Carga!K51</f>
        <v>0</v>
      </c>
      <c r="C51" s="152">
        <f>+'Calculadora VDFA'!$M$6</f>
        <v>0.61</v>
      </c>
      <c r="E51" s="6">
        <f>Carga!L51</f>
        <v>0</v>
      </c>
      <c r="F51" s="6">
        <f t="shared" si="123"/>
        <v>0</v>
      </c>
      <c r="G51" s="11">
        <f>+MAX(Carga!$D$8,MIN(Carga!$F$8,Carga!$E$8+$C51))</f>
        <v>0.61</v>
      </c>
      <c r="H51" s="6">
        <f>F51*G51*Carga!P51/360</f>
        <v>0</v>
      </c>
      <c r="I51" s="154">
        <f t="shared" si="45"/>
        <v>-2.5320332497358322E-9</v>
      </c>
      <c r="J51" s="6">
        <f t="shared" si="46"/>
        <v>0</v>
      </c>
      <c r="K51" s="6">
        <f t="shared" si="47"/>
        <v>0</v>
      </c>
      <c r="L51" s="6">
        <f t="shared" si="0"/>
        <v>0</v>
      </c>
      <c r="N51" s="6">
        <f t="shared" si="1"/>
        <v>0</v>
      </c>
      <c r="O51" s="6">
        <f t="shared" si="48"/>
        <v>0</v>
      </c>
      <c r="P51" s="11">
        <f>+MAX(Carga!$D$9,MIN(Carga!$F$9,Carga!$E$9+$C51))</f>
        <v>0.63</v>
      </c>
      <c r="Q51" s="6">
        <f>+O51*P51*Carga!P51/360</f>
        <v>0</v>
      </c>
      <c r="R51" s="6">
        <f t="shared" si="49"/>
        <v>0</v>
      </c>
      <c r="S51" s="6">
        <f t="shared" si="117"/>
        <v>0</v>
      </c>
      <c r="T51" s="6">
        <f t="shared" si="61"/>
        <v>0</v>
      </c>
      <c r="U51" s="6">
        <f t="shared" si="4"/>
        <v>0</v>
      </c>
      <c r="W51" s="6">
        <f t="shared" si="5"/>
        <v>0</v>
      </c>
      <c r="X51" s="6">
        <f t="shared" si="50"/>
        <v>0</v>
      </c>
      <c r="Y51" s="11">
        <f>+MAX(Carga!$D$10,MIN(Carga!$F$10,Carga!$E$10+$C51))</f>
        <v>0.61</v>
      </c>
      <c r="Z51" s="6">
        <f t="shared" si="51"/>
        <v>0</v>
      </c>
      <c r="AA51" s="6">
        <f t="shared" si="6"/>
        <v>0</v>
      </c>
      <c r="AB51" s="6">
        <f t="shared" si="7"/>
        <v>0</v>
      </c>
      <c r="AC51" s="6">
        <f t="shared" si="8"/>
        <v>0</v>
      </c>
      <c r="AE51" s="6">
        <f t="shared" si="9"/>
        <v>0</v>
      </c>
      <c r="AF51" s="6">
        <f t="shared" si="52"/>
        <v>100</v>
      </c>
      <c r="AG51" s="11" t="b">
        <f>IF(MAX(AE$65:AE72)&gt;0,FALSE,TRUE)</f>
        <v>0</v>
      </c>
      <c r="AH51" s="6">
        <f t="shared" si="11"/>
        <v>0</v>
      </c>
      <c r="AI51" s="6">
        <f t="shared" si="12"/>
        <v>0</v>
      </c>
      <c r="AJ51" s="6">
        <f t="shared" si="13"/>
        <v>0</v>
      </c>
      <c r="AL51" s="6">
        <f t="shared" si="118"/>
        <v>-44789</v>
      </c>
      <c r="AN51" s="6">
        <f t="shared" si="15"/>
        <v>0</v>
      </c>
      <c r="AO51" s="6" t="e">
        <f t="shared" si="16"/>
        <v>#NUM!</v>
      </c>
      <c r="AP51" s="6" t="e">
        <f t="shared" si="17"/>
        <v>#NUM!</v>
      </c>
      <c r="AR51" s="6">
        <f t="shared" si="18"/>
        <v>0</v>
      </c>
      <c r="AS51" s="6" t="e">
        <f t="shared" si="19"/>
        <v>#NUM!</v>
      </c>
      <c r="AT51" s="6" t="e">
        <f t="shared" si="20"/>
        <v>#NUM!</v>
      </c>
      <c r="AV51" s="6">
        <f t="shared" si="21"/>
        <v>0</v>
      </c>
      <c r="AW51" s="6" t="e">
        <f t="shared" si="22"/>
        <v>#NUM!</v>
      </c>
      <c r="AX51" s="6" t="e">
        <f t="shared" si="23"/>
        <v>#NUM!</v>
      </c>
      <c r="AZ51" s="6">
        <f t="shared" si="24"/>
        <v>0</v>
      </c>
      <c r="BA51" s="6" t="e">
        <f t="shared" si="25"/>
        <v>#NUM!</v>
      </c>
      <c r="BB51" s="6" t="e">
        <f t="shared" si="26"/>
        <v>#NUM!</v>
      </c>
      <c r="BD51" s="6">
        <f t="shared" si="27"/>
        <v>0</v>
      </c>
      <c r="BE51" s="6">
        <f t="shared" si="28"/>
        <v>0</v>
      </c>
      <c r="BF51" s="6">
        <f t="shared" si="29"/>
        <v>0</v>
      </c>
      <c r="BG51" s="6">
        <f t="shared" si="30"/>
        <v>0</v>
      </c>
      <c r="BI51" s="6" t="e">
        <f t="shared" si="31"/>
        <v>#DIV/0!</v>
      </c>
      <c r="BJ51" s="6" t="e">
        <f t="shared" si="32"/>
        <v>#DIV/0!</v>
      </c>
      <c r="BK51" s="6">
        <f t="shared" ca="1" si="119"/>
        <v>0</v>
      </c>
      <c r="BL51" s="6">
        <f t="shared" ref="BL51:BL65" si="150">+SUM(E$40:E51)</f>
        <v>795010</v>
      </c>
      <c r="BM51" s="6">
        <f t="shared" ref="BM51:BM65" si="151">+SUM(K$40:K51)+F51</f>
        <v>0</v>
      </c>
      <c r="BN51" s="6">
        <f t="shared" ref="BN51:BN65" si="152">+SUM(T$40:T51)+O51</f>
        <v>0</v>
      </c>
      <c r="BO51" s="6">
        <f t="shared" ref="BO51:BO65" si="153">+SUM(AB$40:AB51)+X51</f>
        <v>0</v>
      </c>
      <c r="BP51" s="11">
        <f t="shared" si="38"/>
        <v>0</v>
      </c>
      <c r="BQ51" s="11">
        <f t="shared" si="39"/>
        <v>0</v>
      </c>
      <c r="BR51" s="11">
        <f t="shared" si="40"/>
        <v>0</v>
      </c>
      <c r="BS51" s="11">
        <f t="shared" ref="BS51:BU51" si="154">+(1-BP51)</f>
        <v>1</v>
      </c>
      <c r="BT51" s="11">
        <f t="shared" si="154"/>
        <v>1</v>
      </c>
      <c r="BU51" s="11">
        <f t="shared" si="154"/>
        <v>1</v>
      </c>
      <c r="BV51" s="19" t="e">
        <f t="shared" ref="BV51:BX51" si="155">ROUND(1/BP51,2)</f>
        <v>#DIV/0!</v>
      </c>
      <c r="BW51" s="19" t="e">
        <f t="shared" si="155"/>
        <v>#DIV/0!</v>
      </c>
      <c r="BX51" s="19" t="e">
        <f t="shared" si="155"/>
        <v>#DIV/0!</v>
      </c>
      <c r="BY51" s="7">
        <f t="shared" si="122"/>
        <v>0</v>
      </c>
    </row>
    <row r="52" spans="2:77">
      <c r="B52" s="151">
        <f>+Carga!K52</f>
        <v>0</v>
      </c>
      <c r="C52" s="153">
        <f>+'Calculadora VDFA'!$M$6</f>
        <v>0.61</v>
      </c>
      <c r="E52" s="17">
        <f>Carga!L52</f>
        <v>0</v>
      </c>
      <c r="F52" s="17">
        <f t="shared" si="123"/>
        <v>0</v>
      </c>
      <c r="G52" s="18">
        <f>+MAX(Carga!$D$8,MIN(Carga!$F$8,Carga!$E$8+$C52))</f>
        <v>0.61</v>
      </c>
      <c r="H52" s="17">
        <f>F52*G52*Carga!P52/360</f>
        <v>0</v>
      </c>
      <c r="I52" s="155">
        <f t="shared" si="45"/>
        <v>-2.5320332497358322E-9</v>
      </c>
      <c r="J52" s="17">
        <f t="shared" si="46"/>
        <v>0</v>
      </c>
      <c r="K52" s="17">
        <f t="shared" si="47"/>
        <v>0</v>
      </c>
      <c r="L52" s="17">
        <f t="shared" si="0"/>
        <v>0</v>
      </c>
      <c r="N52" s="17">
        <f t="shared" si="1"/>
        <v>0</v>
      </c>
      <c r="O52" s="17">
        <f t="shared" si="48"/>
        <v>0</v>
      </c>
      <c r="P52" s="18">
        <f>+MAX(Carga!$D$9,MIN(Carga!$F$9,Carga!$E$9+$C52))</f>
        <v>0.63</v>
      </c>
      <c r="Q52" s="17">
        <f>+O52*P52*Carga!P52/360</f>
        <v>0</v>
      </c>
      <c r="R52" s="17">
        <f t="shared" si="49"/>
        <v>0</v>
      </c>
      <c r="S52" s="17">
        <f t="shared" si="117"/>
        <v>0</v>
      </c>
      <c r="T52" s="17">
        <f t="shared" si="61"/>
        <v>0</v>
      </c>
      <c r="U52" s="17">
        <f t="shared" si="4"/>
        <v>0</v>
      </c>
      <c r="W52" s="17">
        <f t="shared" si="5"/>
        <v>0</v>
      </c>
      <c r="X52" s="17">
        <f t="shared" si="50"/>
        <v>0</v>
      </c>
      <c r="Y52" s="18">
        <f>+MAX(Carga!$D$10,MIN(Carga!$F$10,Carga!$E$10+$C52))</f>
        <v>0.61</v>
      </c>
      <c r="Z52" s="17">
        <f t="shared" si="51"/>
        <v>0</v>
      </c>
      <c r="AA52" s="17">
        <f t="shared" si="6"/>
        <v>0</v>
      </c>
      <c r="AB52" s="17">
        <f t="shared" si="7"/>
        <v>0</v>
      </c>
      <c r="AC52" s="17">
        <f t="shared" si="8"/>
        <v>0</v>
      </c>
      <c r="AE52" s="17">
        <f t="shared" si="9"/>
        <v>0</v>
      </c>
      <c r="AF52" s="17">
        <f t="shared" si="52"/>
        <v>100</v>
      </c>
      <c r="AG52" s="16" t="b">
        <f>IF(MAX(AE53:AE$65)&gt;0,FALSE,TRUE)</f>
        <v>1</v>
      </c>
      <c r="AH52" s="17">
        <f t="shared" si="11"/>
        <v>0</v>
      </c>
      <c r="AI52" s="17">
        <f t="shared" si="12"/>
        <v>0</v>
      </c>
      <c r="AJ52" s="17">
        <f t="shared" si="13"/>
        <v>0</v>
      </c>
      <c r="AL52" s="16">
        <f t="shared" si="118"/>
        <v>-44789</v>
      </c>
      <c r="AN52" s="17">
        <f t="shared" si="15"/>
        <v>0</v>
      </c>
      <c r="AO52" s="17" t="e">
        <f t="shared" si="16"/>
        <v>#NUM!</v>
      </c>
      <c r="AP52" s="16" t="e">
        <f t="shared" si="17"/>
        <v>#NUM!</v>
      </c>
      <c r="AR52" s="17">
        <f t="shared" si="18"/>
        <v>0</v>
      </c>
      <c r="AS52" s="17" t="e">
        <f t="shared" si="19"/>
        <v>#NUM!</v>
      </c>
      <c r="AT52" s="17" t="e">
        <f t="shared" si="20"/>
        <v>#NUM!</v>
      </c>
      <c r="AV52" s="17">
        <f t="shared" si="21"/>
        <v>0</v>
      </c>
      <c r="AW52" s="17" t="e">
        <f t="shared" si="22"/>
        <v>#NUM!</v>
      </c>
      <c r="AX52" s="17" t="e">
        <f t="shared" si="23"/>
        <v>#NUM!</v>
      </c>
      <c r="AZ52" s="17">
        <f t="shared" si="24"/>
        <v>0</v>
      </c>
      <c r="BA52" s="17" t="e">
        <f t="shared" si="25"/>
        <v>#NUM!</v>
      </c>
      <c r="BB52" s="17" t="e">
        <f t="shared" si="26"/>
        <v>#NUM!</v>
      </c>
      <c r="BD52" s="17">
        <f t="shared" si="27"/>
        <v>0</v>
      </c>
      <c r="BE52" s="17">
        <f t="shared" si="28"/>
        <v>0</v>
      </c>
      <c r="BF52" s="17">
        <f t="shared" si="29"/>
        <v>0</v>
      </c>
      <c r="BG52" s="17">
        <f t="shared" si="30"/>
        <v>0</v>
      </c>
      <c r="BI52" s="17" t="e">
        <f t="shared" si="31"/>
        <v>#DIV/0!</v>
      </c>
      <c r="BJ52" s="17" t="e">
        <f t="shared" si="32"/>
        <v>#DIV/0!</v>
      </c>
      <c r="BK52" s="17">
        <f t="shared" ca="1" si="119"/>
        <v>0</v>
      </c>
      <c r="BL52" s="17">
        <f t="shared" si="150"/>
        <v>795010</v>
      </c>
      <c r="BM52" s="17">
        <f t="shared" si="151"/>
        <v>0</v>
      </c>
      <c r="BN52" s="17">
        <f t="shared" si="152"/>
        <v>0</v>
      </c>
      <c r="BO52" s="17">
        <f t="shared" si="153"/>
        <v>0</v>
      </c>
      <c r="BP52" s="18">
        <f t="shared" si="38"/>
        <v>0</v>
      </c>
      <c r="BQ52" s="18">
        <f t="shared" si="39"/>
        <v>0</v>
      </c>
      <c r="BR52" s="18">
        <f t="shared" si="40"/>
        <v>0</v>
      </c>
      <c r="BS52" s="18">
        <f t="shared" ref="BS52:BU52" si="156">+(1-BP52)</f>
        <v>1</v>
      </c>
      <c r="BT52" s="18">
        <f t="shared" si="156"/>
        <v>1</v>
      </c>
      <c r="BU52" s="18">
        <f t="shared" si="156"/>
        <v>1</v>
      </c>
      <c r="BV52" s="20" t="e">
        <f t="shared" ref="BV52:BX52" si="157">ROUND(1/BP52,2)</f>
        <v>#DIV/0!</v>
      </c>
      <c r="BW52" s="20" t="e">
        <f t="shared" si="157"/>
        <v>#DIV/0!</v>
      </c>
      <c r="BX52" s="20" t="e">
        <f t="shared" si="157"/>
        <v>#DIV/0!</v>
      </c>
      <c r="BY52" s="15">
        <f t="shared" si="122"/>
        <v>0</v>
      </c>
    </row>
    <row r="53" spans="2:77">
      <c r="B53" s="151">
        <f>+Carga!K53</f>
        <v>0</v>
      </c>
      <c r="C53" s="152">
        <f>+'Calculadora VDFA'!$M$6</f>
        <v>0.61</v>
      </c>
      <c r="E53" s="6">
        <f>Carga!L53</f>
        <v>0</v>
      </c>
      <c r="F53" s="6">
        <f t="shared" si="123"/>
        <v>0</v>
      </c>
      <c r="G53" s="11">
        <f>+MAX(Carga!$D$8,MIN(Carga!$F$8,Carga!$E$8+$C53))</f>
        <v>0.61</v>
      </c>
      <c r="H53" s="6">
        <f>F53*G53*Carga!P53/360</f>
        <v>0</v>
      </c>
      <c r="I53" s="154">
        <f t="shared" si="45"/>
        <v>-2.5320332497358322E-9</v>
      </c>
      <c r="J53" s="6">
        <f t="shared" si="46"/>
        <v>0</v>
      </c>
      <c r="K53" s="6">
        <f t="shared" si="47"/>
        <v>0</v>
      </c>
      <c r="L53" s="6">
        <f t="shared" si="0"/>
        <v>0</v>
      </c>
      <c r="N53" s="6">
        <f t="shared" si="1"/>
        <v>0</v>
      </c>
      <c r="O53" s="6">
        <f t="shared" si="48"/>
        <v>0</v>
      </c>
      <c r="P53" s="11">
        <f>+MAX(Carga!$D$9,MIN(Carga!$F$9,Carga!$E$9+$C53))</f>
        <v>0.63</v>
      </c>
      <c r="Q53" s="6">
        <f>+O53*P53*Carga!P53/360</f>
        <v>0</v>
      </c>
      <c r="R53" s="6">
        <f t="shared" si="49"/>
        <v>0</v>
      </c>
      <c r="S53" s="6">
        <f t="shared" si="117"/>
        <v>0</v>
      </c>
      <c r="T53" s="6">
        <f t="shared" si="61"/>
        <v>0</v>
      </c>
      <c r="U53" s="6">
        <f t="shared" si="4"/>
        <v>0</v>
      </c>
      <c r="W53" s="6">
        <f t="shared" si="5"/>
        <v>0</v>
      </c>
      <c r="X53" s="6">
        <f t="shared" si="50"/>
        <v>0</v>
      </c>
      <c r="Y53" s="11">
        <f>+MAX(Carga!$D$10,MIN(Carga!$F$10,Carga!$E$10+$C53))</f>
        <v>0.61</v>
      </c>
      <c r="Z53" s="6">
        <f t="shared" si="51"/>
        <v>0</v>
      </c>
      <c r="AA53" s="6">
        <f t="shared" si="6"/>
        <v>0</v>
      </c>
      <c r="AB53" s="6">
        <f t="shared" si="7"/>
        <v>0</v>
      </c>
      <c r="AC53" s="6">
        <f t="shared" si="8"/>
        <v>0</v>
      </c>
      <c r="AE53" s="6">
        <f t="shared" si="9"/>
        <v>0</v>
      </c>
      <c r="AF53" s="6">
        <f t="shared" si="52"/>
        <v>100</v>
      </c>
      <c r="AG53" s="11" t="b">
        <f>IF(MAX(AE$65:AE74)&gt;0,FALSE,TRUE)</f>
        <v>0</v>
      </c>
      <c r="AH53" s="6">
        <f t="shared" si="11"/>
        <v>0</v>
      </c>
      <c r="AI53" s="6">
        <f t="shared" si="12"/>
        <v>0</v>
      </c>
      <c r="AJ53" s="6">
        <f t="shared" si="13"/>
        <v>0</v>
      </c>
      <c r="AL53" s="6">
        <f t="shared" si="118"/>
        <v>-44789</v>
      </c>
      <c r="AN53" s="6">
        <f t="shared" si="15"/>
        <v>0</v>
      </c>
      <c r="AO53" s="6" t="e">
        <f t="shared" si="16"/>
        <v>#NUM!</v>
      </c>
      <c r="AP53" s="6" t="e">
        <f t="shared" si="17"/>
        <v>#NUM!</v>
      </c>
      <c r="AR53" s="6">
        <f t="shared" si="18"/>
        <v>0</v>
      </c>
      <c r="AS53" s="6" t="e">
        <f t="shared" si="19"/>
        <v>#NUM!</v>
      </c>
      <c r="AT53" s="6" t="e">
        <f t="shared" si="20"/>
        <v>#NUM!</v>
      </c>
      <c r="AV53" s="6">
        <f t="shared" si="21"/>
        <v>0</v>
      </c>
      <c r="AW53" s="6" t="e">
        <f t="shared" si="22"/>
        <v>#NUM!</v>
      </c>
      <c r="AX53" s="6" t="e">
        <f t="shared" si="23"/>
        <v>#NUM!</v>
      </c>
      <c r="AZ53" s="6">
        <f t="shared" si="24"/>
        <v>0</v>
      </c>
      <c r="BA53" s="6" t="e">
        <f t="shared" si="25"/>
        <v>#NUM!</v>
      </c>
      <c r="BB53" s="6" t="e">
        <f t="shared" si="26"/>
        <v>#NUM!</v>
      </c>
      <c r="BD53" s="6">
        <f t="shared" si="27"/>
        <v>0</v>
      </c>
      <c r="BE53" s="6">
        <f t="shared" si="28"/>
        <v>0</v>
      </c>
      <c r="BF53" s="6">
        <f t="shared" si="29"/>
        <v>0</v>
      </c>
      <c r="BG53" s="6">
        <f t="shared" si="30"/>
        <v>0</v>
      </c>
      <c r="BI53" s="6" t="e">
        <f t="shared" si="31"/>
        <v>#DIV/0!</v>
      </c>
      <c r="BJ53" s="6" t="e">
        <f t="shared" si="32"/>
        <v>#DIV/0!</v>
      </c>
      <c r="BK53" s="6">
        <f t="shared" ca="1" si="119"/>
        <v>0</v>
      </c>
      <c r="BL53" s="6">
        <f t="shared" si="150"/>
        <v>795010</v>
      </c>
      <c r="BM53" s="6">
        <f t="shared" si="151"/>
        <v>0</v>
      </c>
      <c r="BN53" s="6">
        <f t="shared" si="152"/>
        <v>0</v>
      </c>
      <c r="BO53" s="6">
        <f t="shared" si="153"/>
        <v>0</v>
      </c>
      <c r="BP53" s="11">
        <f t="shared" si="38"/>
        <v>0</v>
      </c>
      <c r="BQ53" s="11">
        <f t="shared" si="39"/>
        <v>0</v>
      </c>
      <c r="BR53" s="11">
        <f t="shared" si="40"/>
        <v>0</v>
      </c>
      <c r="BS53" s="11">
        <f t="shared" ref="BS53:BU53" si="158">+(1-BP53)</f>
        <v>1</v>
      </c>
      <c r="BT53" s="11">
        <f t="shared" si="158"/>
        <v>1</v>
      </c>
      <c r="BU53" s="11">
        <f t="shared" si="158"/>
        <v>1</v>
      </c>
      <c r="BV53" s="19" t="e">
        <f t="shared" ref="BV53:BX53" si="159">ROUND(1/BP53,2)</f>
        <v>#DIV/0!</v>
      </c>
      <c r="BW53" s="19" t="e">
        <f t="shared" si="159"/>
        <v>#DIV/0!</v>
      </c>
      <c r="BX53" s="19" t="e">
        <f t="shared" si="159"/>
        <v>#DIV/0!</v>
      </c>
      <c r="BY53" s="7">
        <f t="shared" si="122"/>
        <v>0</v>
      </c>
    </row>
    <row r="54" spans="2:77">
      <c r="B54" s="151">
        <f>+Carga!K54</f>
        <v>0</v>
      </c>
      <c r="C54" s="153">
        <f>+'Calculadora VDFA'!$M$6</f>
        <v>0.61</v>
      </c>
      <c r="E54" s="17">
        <f>Carga!L54</f>
        <v>0</v>
      </c>
      <c r="F54" s="17">
        <f t="shared" si="123"/>
        <v>0</v>
      </c>
      <c r="G54" s="18">
        <f>+MAX(Carga!$D$8,MIN(Carga!$F$8,Carga!$E$8+$C54))</f>
        <v>0.61</v>
      </c>
      <c r="H54" s="17">
        <f>F54*G54*Carga!P54/360</f>
        <v>0</v>
      </c>
      <c r="I54" s="155">
        <f t="shared" si="45"/>
        <v>-2.5320332497358322E-9</v>
      </c>
      <c r="J54" s="17">
        <f t="shared" si="46"/>
        <v>0</v>
      </c>
      <c r="K54" s="17">
        <f t="shared" si="47"/>
        <v>0</v>
      </c>
      <c r="L54" s="17">
        <f t="shared" si="0"/>
        <v>0</v>
      </c>
      <c r="N54" s="17">
        <f t="shared" si="1"/>
        <v>0</v>
      </c>
      <c r="O54" s="17">
        <f t="shared" si="48"/>
        <v>0</v>
      </c>
      <c r="P54" s="18">
        <f>+MAX(Carga!$D$9,MIN(Carga!$F$9,Carga!$E$9+$C54))</f>
        <v>0.63</v>
      </c>
      <c r="Q54" s="17">
        <f>+O54*P54*Carga!P54/360</f>
        <v>0</v>
      </c>
      <c r="R54" s="17">
        <f t="shared" si="49"/>
        <v>0</v>
      </c>
      <c r="S54" s="17">
        <f t="shared" si="117"/>
        <v>0</v>
      </c>
      <c r="T54" s="17">
        <f t="shared" si="61"/>
        <v>0</v>
      </c>
      <c r="U54" s="17">
        <f t="shared" si="4"/>
        <v>0</v>
      </c>
      <c r="W54" s="17">
        <f t="shared" si="5"/>
        <v>0</v>
      </c>
      <c r="X54" s="17">
        <f t="shared" si="50"/>
        <v>0</v>
      </c>
      <c r="Y54" s="18">
        <f>+MAX(Carga!$D$10,MIN(Carga!$F$10,Carga!$E$10+$C54))</f>
        <v>0.61</v>
      </c>
      <c r="Z54" s="17">
        <f t="shared" si="51"/>
        <v>0</v>
      </c>
      <c r="AA54" s="17">
        <f t="shared" si="6"/>
        <v>0</v>
      </c>
      <c r="AB54" s="17">
        <f t="shared" si="7"/>
        <v>0</v>
      </c>
      <c r="AC54" s="17">
        <f t="shared" si="8"/>
        <v>0</v>
      </c>
      <c r="AE54" s="17">
        <f t="shared" si="9"/>
        <v>0</v>
      </c>
      <c r="AF54" s="17">
        <f t="shared" si="52"/>
        <v>100</v>
      </c>
      <c r="AG54" s="16" t="b">
        <f>IF(MAX(AE55:AE$65)&gt;0,FALSE,TRUE)</f>
        <v>1</v>
      </c>
      <c r="AH54" s="17">
        <f t="shared" si="11"/>
        <v>0</v>
      </c>
      <c r="AI54" s="17">
        <f t="shared" si="12"/>
        <v>0</v>
      </c>
      <c r="AJ54" s="17">
        <f t="shared" si="13"/>
        <v>0</v>
      </c>
      <c r="AL54" s="16">
        <f t="shared" si="118"/>
        <v>-44789</v>
      </c>
      <c r="AN54" s="17">
        <f t="shared" si="15"/>
        <v>0</v>
      </c>
      <c r="AO54" s="17" t="e">
        <f t="shared" si="16"/>
        <v>#NUM!</v>
      </c>
      <c r="AP54" s="16" t="e">
        <f t="shared" si="17"/>
        <v>#NUM!</v>
      </c>
      <c r="AR54" s="17">
        <f t="shared" si="18"/>
        <v>0</v>
      </c>
      <c r="AS54" s="17" t="e">
        <f t="shared" si="19"/>
        <v>#NUM!</v>
      </c>
      <c r="AT54" s="17" t="e">
        <f t="shared" si="20"/>
        <v>#NUM!</v>
      </c>
      <c r="AV54" s="17">
        <f t="shared" si="21"/>
        <v>0</v>
      </c>
      <c r="AW54" s="17" t="e">
        <f t="shared" si="22"/>
        <v>#NUM!</v>
      </c>
      <c r="AX54" s="17" t="e">
        <f t="shared" si="23"/>
        <v>#NUM!</v>
      </c>
      <c r="AZ54" s="17">
        <f t="shared" si="24"/>
        <v>0</v>
      </c>
      <c r="BA54" s="17" t="e">
        <f t="shared" si="25"/>
        <v>#NUM!</v>
      </c>
      <c r="BB54" s="17" t="e">
        <f t="shared" si="26"/>
        <v>#NUM!</v>
      </c>
      <c r="BD54" s="17">
        <f t="shared" si="27"/>
        <v>0</v>
      </c>
      <c r="BE54" s="17">
        <f t="shared" si="28"/>
        <v>0</v>
      </c>
      <c r="BF54" s="17">
        <f t="shared" si="29"/>
        <v>0</v>
      </c>
      <c r="BG54" s="17">
        <f t="shared" si="30"/>
        <v>0</v>
      </c>
      <c r="BI54" s="17" t="e">
        <f t="shared" si="31"/>
        <v>#DIV/0!</v>
      </c>
      <c r="BJ54" s="17" t="e">
        <f t="shared" si="32"/>
        <v>#DIV/0!</v>
      </c>
      <c r="BK54" s="17">
        <f t="shared" ca="1" si="119"/>
        <v>0</v>
      </c>
      <c r="BL54" s="17">
        <f t="shared" si="150"/>
        <v>795010</v>
      </c>
      <c r="BM54" s="17">
        <f t="shared" si="151"/>
        <v>0</v>
      </c>
      <c r="BN54" s="17">
        <f t="shared" si="152"/>
        <v>0</v>
      </c>
      <c r="BO54" s="17">
        <f t="shared" si="153"/>
        <v>0</v>
      </c>
      <c r="BP54" s="18">
        <f t="shared" si="38"/>
        <v>0</v>
      </c>
      <c r="BQ54" s="18">
        <f t="shared" si="39"/>
        <v>0</v>
      </c>
      <c r="BR54" s="18">
        <f t="shared" si="40"/>
        <v>0</v>
      </c>
      <c r="BS54" s="18">
        <f t="shared" ref="BS54:BU54" si="160">+(1-BP54)</f>
        <v>1</v>
      </c>
      <c r="BT54" s="18">
        <f t="shared" si="160"/>
        <v>1</v>
      </c>
      <c r="BU54" s="18">
        <f t="shared" si="160"/>
        <v>1</v>
      </c>
      <c r="BV54" s="20" t="e">
        <f t="shared" ref="BV54:BX54" si="161">ROUND(1/BP54,2)</f>
        <v>#DIV/0!</v>
      </c>
      <c r="BW54" s="20" t="e">
        <f t="shared" si="161"/>
        <v>#DIV/0!</v>
      </c>
      <c r="BX54" s="20" t="e">
        <f t="shared" si="161"/>
        <v>#DIV/0!</v>
      </c>
      <c r="BY54" s="15">
        <f t="shared" si="122"/>
        <v>0</v>
      </c>
    </row>
    <row r="55" spans="2:77">
      <c r="B55" s="151">
        <f>+Carga!K55</f>
        <v>0</v>
      </c>
      <c r="C55" s="152">
        <f>+'Calculadora VDFA'!$M$6</f>
        <v>0.61</v>
      </c>
      <c r="E55" s="6">
        <f>Carga!L55</f>
        <v>0</v>
      </c>
      <c r="F55" s="6">
        <f t="shared" si="123"/>
        <v>0</v>
      </c>
      <c r="G55" s="11">
        <f>+MAX(Carga!$D$8,MIN(Carga!$F$8,Carga!$E$8+$C55))</f>
        <v>0.61</v>
      </c>
      <c r="H55" s="6">
        <f>F55*G55*Carga!P55/360</f>
        <v>0</v>
      </c>
      <c r="I55" s="154">
        <f t="shared" si="45"/>
        <v>-2.5320332497358322E-9</v>
      </c>
      <c r="J55" s="6">
        <f t="shared" si="46"/>
        <v>0</v>
      </c>
      <c r="K55" s="6">
        <f t="shared" si="47"/>
        <v>0</v>
      </c>
      <c r="L55" s="6">
        <f t="shared" si="0"/>
        <v>0</v>
      </c>
      <c r="N55" s="6">
        <f t="shared" si="1"/>
        <v>0</v>
      </c>
      <c r="O55" s="6">
        <f t="shared" si="48"/>
        <v>0</v>
      </c>
      <c r="P55" s="11">
        <f>+MAX(Carga!$D$9,MIN(Carga!$F$9,Carga!$E$9+$C55))</f>
        <v>0.63</v>
      </c>
      <c r="Q55" s="6">
        <f>+O55*P55*Carga!P55/360</f>
        <v>0</v>
      </c>
      <c r="R55" s="6">
        <f t="shared" si="49"/>
        <v>0</v>
      </c>
      <c r="S55" s="6">
        <f t="shared" si="117"/>
        <v>0</v>
      </c>
      <c r="T55" s="6">
        <f t="shared" si="61"/>
        <v>0</v>
      </c>
      <c r="U55" s="6">
        <f t="shared" si="4"/>
        <v>0</v>
      </c>
      <c r="W55" s="6">
        <f t="shared" si="5"/>
        <v>0</v>
      </c>
      <c r="X55" s="6">
        <f t="shared" si="50"/>
        <v>0</v>
      </c>
      <c r="Y55" s="11">
        <f>+MAX(Carga!$D$10,MIN(Carga!$F$10,Carga!$E$10+$C55))</f>
        <v>0.61</v>
      </c>
      <c r="Z55" s="6">
        <f t="shared" si="51"/>
        <v>0</v>
      </c>
      <c r="AA55" s="6">
        <f t="shared" si="6"/>
        <v>0</v>
      </c>
      <c r="AB55" s="6">
        <f t="shared" si="7"/>
        <v>0</v>
      </c>
      <c r="AC55" s="6">
        <f t="shared" si="8"/>
        <v>0</v>
      </c>
      <c r="AE55" s="6">
        <f t="shared" si="9"/>
        <v>0</v>
      </c>
      <c r="AF55" s="6">
        <f t="shared" si="52"/>
        <v>100</v>
      </c>
      <c r="AG55" s="11" t="b">
        <f>IF(MAX(AE$65:AE76)&gt;0,FALSE,TRUE)</f>
        <v>0</v>
      </c>
      <c r="AH55" s="6">
        <f t="shared" si="11"/>
        <v>0</v>
      </c>
      <c r="AI55" s="6">
        <f t="shared" si="12"/>
        <v>0</v>
      </c>
      <c r="AJ55" s="6">
        <f t="shared" si="13"/>
        <v>0</v>
      </c>
      <c r="AL55" s="6">
        <f t="shared" si="118"/>
        <v>-44789</v>
      </c>
      <c r="AN55" s="6">
        <f t="shared" si="15"/>
        <v>0</v>
      </c>
      <c r="AO55" s="6" t="e">
        <f t="shared" si="16"/>
        <v>#NUM!</v>
      </c>
      <c r="AP55" s="6" t="e">
        <f t="shared" si="17"/>
        <v>#NUM!</v>
      </c>
      <c r="AR55" s="6">
        <f t="shared" si="18"/>
        <v>0</v>
      </c>
      <c r="AS55" s="6" t="e">
        <f t="shared" si="19"/>
        <v>#NUM!</v>
      </c>
      <c r="AT55" s="6" t="e">
        <f t="shared" si="20"/>
        <v>#NUM!</v>
      </c>
      <c r="AV55" s="6">
        <f t="shared" si="21"/>
        <v>0</v>
      </c>
      <c r="AW55" s="6" t="e">
        <f t="shared" si="22"/>
        <v>#NUM!</v>
      </c>
      <c r="AX55" s="6" t="e">
        <f t="shared" si="23"/>
        <v>#NUM!</v>
      </c>
      <c r="AZ55" s="6">
        <f t="shared" si="24"/>
        <v>0</v>
      </c>
      <c r="BA55" s="6" t="e">
        <f t="shared" si="25"/>
        <v>#NUM!</v>
      </c>
      <c r="BB55" s="6" t="e">
        <f t="shared" si="26"/>
        <v>#NUM!</v>
      </c>
      <c r="BD55" s="6">
        <f t="shared" si="27"/>
        <v>0</v>
      </c>
      <c r="BE55" s="6">
        <f t="shared" si="28"/>
        <v>0</v>
      </c>
      <c r="BF55" s="6">
        <f t="shared" si="29"/>
        <v>0</v>
      </c>
      <c r="BG55" s="6">
        <f t="shared" si="30"/>
        <v>0</v>
      </c>
      <c r="BI55" s="6" t="e">
        <f t="shared" si="31"/>
        <v>#DIV/0!</v>
      </c>
      <c r="BJ55" s="6" t="e">
        <f t="shared" si="32"/>
        <v>#DIV/0!</v>
      </c>
      <c r="BK55" s="6">
        <f t="shared" ca="1" si="119"/>
        <v>0</v>
      </c>
      <c r="BL55" s="6">
        <f t="shared" si="150"/>
        <v>795010</v>
      </c>
      <c r="BM55" s="6">
        <f t="shared" si="151"/>
        <v>0</v>
      </c>
      <c r="BN55" s="6">
        <f t="shared" si="152"/>
        <v>0</v>
      </c>
      <c r="BO55" s="6">
        <f t="shared" si="153"/>
        <v>0</v>
      </c>
      <c r="BP55" s="11">
        <f t="shared" si="38"/>
        <v>0</v>
      </c>
      <c r="BQ55" s="11">
        <f t="shared" si="39"/>
        <v>0</v>
      </c>
      <c r="BR55" s="11">
        <f t="shared" si="40"/>
        <v>0</v>
      </c>
      <c r="BS55" s="11">
        <f t="shared" ref="BS55:BU55" si="162">+(1-BP55)</f>
        <v>1</v>
      </c>
      <c r="BT55" s="11">
        <f t="shared" si="162"/>
        <v>1</v>
      </c>
      <c r="BU55" s="11">
        <f t="shared" si="162"/>
        <v>1</v>
      </c>
      <c r="BV55" s="19" t="e">
        <f t="shared" ref="BV55:BX55" si="163">ROUND(1/BP55,2)</f>
        <v>#DIV/0!</v>
      </c>
      <c r="BW55" s="19" t="e">
        <f t="shared" si="163"/>
        <v>#DIV/0!</v>
      </c>
      <c r="BX55" s="19" t="e">
        <f t="shared" si="163"/>
        <v>#DIV/0!</v>
      </c>
      <c r="BY55" s="7">
        <f t="shared" si="122"/>
        <v>0</v>
      </c>
    </row>
    <row r="56" spans="2:77">
      <c r="B56" s="151">
        <f>+Carga!K56</f>
        <v>0</v>
      </c>
      <c r="C56" s="153">
        <f>+'Calculadora VDFA'!$M$6</f>
        <v>0.61</v>
      </c>
      <c r="E56" s="17">
        <f>Carga!L56</f>
        <v>0</v>
      </c>
      <c r="F56" s="17">
        <f t="shared" si="123"/>
        <v>0</v>
      </c>
      <c r="G56" s="18">
        <f>+MAX(Carga!$D$8,MIN(Carga!$F$8,Carga!$E$8+$C56))</f>
        <v>0.61</v>
      </c>
      <c r="H56" s="17">
        <f>F56*G56*Carga!P56/360</f>
        <v>0</v>
      </c>
      <c r="I56" s="155">
        <f t="shared" si="45"/>
        <v>-2.5320332497358322E-9</v>
      </c>
      <c r="J56" s="17">
        <f t="shared" si="46"/>
        <v>0</v>
      </c>
      <c r="K56" s="17">
        <f t="shared" si="47"/>
        <v>0</v>
      </c>
      <c r="L56" s="17">
        <f t="shared" si="0"/>
        <v>0</v>
      </c>
      <c r="N56" s="17">
        <f t="shared" si="1"/>
        <v>0</v>
      </c>
      <c r="O56" s="17">
        <f t="shared" si="48"/>
        <v>0</v>
      </c>
      <c r="P56" s="18">
        <f>+MAX(Carga!$D$9,MIN(Carga!$F$9,Carga!$E$9+$C56))</f>
        <v>0.63</v>
      </c>
      <c r="Q56" s="17">
        <f>+O56*P56*Carga!P56/360</f>
        <v>0</v>
      </c>
      <c r="R56" s="17">
        <f t="shared" si="49"/>
        <v>0</v>
      </c>
      <c r="S56" s="17">
        <f t="shared" si="117"/>
        <v>0</v>
      </c>
      <c r="T56" s="17">
        <f t="shared" si="61"/>
        <v>0</v>
      </c>
      <c r="U56" s="17">
        <f t="shared" si="4"/>
        <v>0</v>
      </c>
      <c r="W56" s="17">
        <f t="shared" si="5"/>
        <v>0</v>
      </c>
      <c r="X56" s="17">
        <f t="shared" si="50"/>
        <v>0</v>
      </c>
      <c r="Y56" s="18">
        <f>+MAX(Carga!$D$10,MIN(Carga!$F$10,Carga!$E$10+$C56))</f>
        <v>0.61</v>
      </c>
      <c r="Z56" s="17">
        <f t="shared" si="51"/>
        <v>0</v>
      </c>
      <c r="AA56" s="17">
        <f t="shared" si="6"/>
        <v>0</v>
      </c>
      <c r="AB56" s="17">
        <f t="shared" si="7"/>
        <v>0</v>
      </c>
      <c r="AC56" s="17">
        <f t="shared" si="8"/>
        <v>0</v>
      </c>
      <c r="AE56" s="17">
        <f t="shared" si="9"/>
        <v>0</v>
      </c>
      <c r="AF56" s="17">
        <f t="shared" si="52"/>
        <v>100</v>
      </c>
      <c r="AG56" s="16" t="b">
        <f>IF(MAX(AE57:AE$65)&gt;0,FALSE,TRUE)</f>
        <v>1</v>
      </c>
      <c r="AH56" s="17">
        <f t="shared" si="11"/>
        <v>0</v>
      </c>
      <c r="AI56" s="17">
        <f t="shared" si="12"/>
        <v>0</v>
      </c>
      <c r="AJ56" s="17">
        <f t="shared" si="13"/>
        <v>0</v>
      </c>
      <c r="AL56" s="16">
        <f t="shared" si="118"/>
        <v>-44789</v>
      </c>
      <c r="AN56" s="17">
        <f t="shared" si="15"/>
        <v>0</v>
      </c>
      <c r="AO56" s="17" t="e">
        <f t="shared" si="16"/>
        <v>#NUM!</v>
      </c>
      <c r="AP56" s="16" t="e">
        <f t="shared" si="17"/>
        <v>#NUM!</v>
      </c>
      <c r="AR56" s="17">
        <f t="shared" si="18"/>
        <v>0</v>
      </c>
      <c r="AS56" s="17" t="e">
        <f t="shared" si="19"/>
        <v>#NUM!</v>
      </c>
      <c r="AT56" s="17" t="e">
        <f t="shared" si="20"/>
        <v>#NUM!</v>
      </c>
      <c r="AV56" s="17">
        <f t="shared" si="21"/>
        <v>0</v>
      </c>
      <c r="AW56" s="17" t="e">
        <f t="shared" si="22"/>
        <v>#NUM!</v>
      </c>
      <c r="AX56" s="17" t="e">
        <f t="shared" si="23"/>
        <v>#NUM!</v>
      </c>
      <c r="AZ56" s="17">
        <f t="shared" si="24"/>
        <v>0</v>
      </c>
      <c r="BA56" s="17" t="e">
        <f t="shared" si="25"/>
        <v>#NUM!</v>
      </c>
      <c r="BB56" s="17" t="e">
        <f t="shared" si="26"/>
        <v>#NUM!</v>
      </c>
      <c r="BD56" s="17">
        <f t="shared" si="27"/>
        <v>0</v>
      </c>
      <c r="BE56" s="17">
        <f t="shared" si="28"/>
        <v>0</v>
      </c>
      <c r="BF56" s="17">
        <f t="shared" si="29"/>
        <v>0</v>
      </c>
      <c r="BG56" s="17">
        <f t="shared" si="30"/>
        <v>0</v>
      </c>
      <c r="BI56" s="17" t="e">
        <f t="shared" si="31"/>
        <v>#DIV/0!</v>
      </c>
      <c r="BJ56" s="17" t="e">
        <f t="shared" si="32"/>
        <v>#DIV/0!</v>
      </c>
      <c r="BK56" s="17">
        <f t="shared" ca="1" si="119"/>
        <v>0</v>
      </c>
      <c r="BL56" s="17">
        <f t="shared" si="150"/>
        <v>795010</v>
      </c>
      <c r="BM56" s="17">
        <f t="shared" si="151"/>
        <v>0</v>
      </c>
      <c r="BN56" s="17">
        <f t="shared" si="152"/>
        <v>0</v>
      </c>
      <c r="BO56" s="17">
        <f t="shared" si="153"/>
        <v>0</v>
      </c>
      <c r="BP56" s="18">
        <f t="shared" si="38"/>
        <v>0</v>
      </c>
      <c r="BQ56" s="18">
        <f t="shared" si="39"/>
        <v>0</v>
      </c>
      <c r="BR56" s="18">
        <f t="shared" si="40"/>
        <v>0</v>
      </c>
      <c r="BS56" s="18">
        <f t="shared" ref="BS56:BU56" si="164">+(1-BP56)</f>
        <v>1</v>
      </c>
      <c r="BT56" s="18">
        <f t="shared" si="164"/>
        <v>1</v>
      </c>
      <c r="BU56" s="18">
        <f t="shared" si="164"/>
        <v>1</v>
      </c>
      <c r="BV56" s="20" t="e">
        <f t="shared" ref="BV56:BX56" si="165">ROUND(1/BP56,2)</f>
        <v>#DIV/0!</v>
      </c>
      <c r="BW56" s="20" t="e">
        <f t="shared" si="165"/>
        <v>#DIV/0!</v>
      </c>
      <c r="BX56" s="20" t="e">
        <f t="shared" si="165"/>
        <v>#DIV/0!</v>
      </c>
      <c r="BY56" s="15">
        <f t="shared" si="122"/>
        <v>0</v>
      </c>
    </row>
    <row r="57" spans="2:77">
      <c r="B57" s="151">
        <f>+Carga!K57</f>
        <v>0</v>
      </c>
      <c r="C57" s="152">
        <f>+'Calculadora VDFA'!$M$6</f>
        <v>0.61</v>
      </c>
      <c r="E57" s="6">
        <f>Carga!L57</f>
        <v>0</v>
      </c>
      <c r="F57" s="6">
        <f t="shared" si="123"/>
        <v>0</v>
      </c>
      <c r="G57" s="11">
        <f>+MAX(Carga!$D$8,MIN(Carga!$F$8,Carga!$E$8+$C57))</f>
        <v>0.61</v>
      </c>
      <c r="H57" s="6">
        <f>F57*G57*Carga!P57/360</f>
        <v>0</v>
      </c>
      <c r="I57" s="154">
        <f t="shared" si="45"/>
        <v>-2.5320332497358322E-9</v>
      </c>
      <c r="J57" s="6">
        <f t="shared" si="46"/>
        <v>0</v>
      </c>
      <c r="K57" s="6">
        <f t="shared" si="47"/>
        <v>0</v>
      </c>
      <c r="L57" s="6">
        <f t="shared" si="0"/>
        <v>0</v>
      </c>
      <c r="N57" s="6">
        <f t="shared" si="1"/>
        <v>0</v>
      </c>
      <c r="O57" s="6">
        <f t="shared" si="48"/>
        <v>0</v>
      </c>
      <c r="P57" s="11">
        <f>+MAX(Carga!$D$9,MIN(Carga!$F$9,Carga!$E$9+$C57))</f>
        <v>0.63</v>
      </c>
      <c r="Q57" s="6">
        <f>+O57*P57*Carga!P57/360</f>
        <v>0</v>
      </c>
      <c r="R57" s="6">
        <f t="shared" si="49"/>
        <v>0</v>
      </c>
      <c r="S57" s="6">
        <f t="shared" si="117"/>
        <v>0</v>
      </c>
      <c r="T57" s="6">
        <f t="shared" si="61"/>
        <v>0</v>
      </c>
      <c r="U57" s="6">
        <f t="shared" si="4"/>
        <v>0</v>
      </c>
      <c r="W57" s="6">
        <f t="shared" si="5"/>
        <v>0</v>
      </c>
      <c r="X57" s="6">
        <f t="shared" si="50"/>
        <v>0</v>
      </c>
      <c r="Y57" s="11">
        <f>+MAX(Carga!$D$10,MIN(Carga!$F$10,Carga!$E$10+$C57))</f>
        <v>0.61</v>
      </c>
      <c r="Z57" s="6">
        <f t="shared" si="51"/>
        <v>0</v>
      </c>
      <c r="AA57" s="6">
        <f t="shared" si="6"/>
        <v>0</v>
      </c>
      <c r="AB57" s="6">
        <f t="shared" si="7"/>
        <v>0</v>
      </c>
      <c r="AC57" s="6">
        <f t="shared" si="8"/>
        <v>0</v>
      </c>
      <c r="AE57" s="6">
        <f t="shared" si="9"/>
        <v>0</v>
      </c>
      <c r="AF57" s="6">
        <f t="shared" si="52"/>
        <v>100</v>
      </c>
      <c r="AG57" s="11" t="b">
        <f>IF(MAX(AE$65:AE78)&gt;0,FALSE,TRUE)</f>
        <v>0</v>
      </c>
      <c r="AH57" s="6">
        <f t="shared" si="11"/>
        <v>0</v>
      </c>
      <c r="AI57" s="6">
        <f t="shared" si="12"/>
        <v>0</v>
      </c>
      <c r="AJ57" s="6">
        <f t="shared" si="13"/>
        <v>0</v>
      </c>
      <c r="AL57" s="6">
        <f t="shared" si="118"/>
        <v>-44789</v>
      </c>
      <c r="AN57" s="6">
        <f t="shared" si="15"/>
        <v>0</v>
      </c>
      <c r="AO57" s="6" t="e">
        <f t="shared" si="16"/>
        <v>#NUM!</v>
      </c>
      <c r="AP57" s="6" t="e">
        <f t="shared" si="17"/>
        <v>#NUM!</v>
      </c>
      <c r="AR57" s="6">
        <f t="shared" si="18"/>
        <v>0</v>
      </c>
      <c r="AS57" s="6" t="e">
        <f t="shared" si="19"/>
        <v>#NUM!</v>
      </c>
      <c r="AT57" s="6" t="e">
        <f t="shared" si="20"/>
        <v>#NUM!</v>
      </c>
      <c r="AV57" s="6">
        <f t="shared" si="21"/>
        <v>0</v>
      </c>
      <c r="AW57" s="6" t="e">
        <f t="shared" si="22"/>
        <v>#NUM!</v>
      </c>
      <c r="AX57" s="6" t="e">
        <f t="shared" si="23"/>
        <v>#NUM!</v>
      </c>
      <c r="AZ57" s="6">
        <f t="shared" si="24"/>
        <v>0</v>
      </c>
      <c r="BA57" s="6" t="e">
        <f t="shared" si="25"/>
        <v>#NUM!</v>
      </c>
      <c r="BB57" s="6" t="e">
        <f t="shared" si="26"/>
        <v>#NUM!</v>
      </c>
      <c r="BD57" s="6">
        <f t="shared" si="27"/>
        <v>0</v>
      </c>
      <c r="BE57" s="6">
        <f t="shared" si="28"/>
        <v>0</v>
      </c>
      <c r="BF57" s="6">
        <f t="shared" si="29"/>
        <v>0</v>
      </c>
      <c r="BG57" s="6">
        <f t="shared" si="30"/>
        <v>0</v>
      </c>
      <c r="BI57" s="6" t="e">
        <f t="shared" si="31"/>
        <v>#DIV/0!</v>
      </c>
      <c r="BJ57" s="6" t="e">
        <f t="shared" si="32"/>
        <v>#DIV/0!</v>
      </c>
      <c r="BK57" s="6">
        <f t="shared" ca="1" si="119"/>
        <v>0</v>
      </c>
      <c r="BL57" s="6">
        <f t="shared" si="150"/>
        <v>795010</v>
      </c>
      <c r="BM57" s="6">
        <f t="shared" si="151"/>
        <v>0</v>
      </c>
      <c r="BN57" s="6">
        <f t="shared" si="152"/>
        <v>0</v>
      </c>
      <c r="BO57" s="6">
        <f t="shared" si="153"/>
        <v>0</v>
      </c>
      <c r="BP57" s="11">
        <f t="shared" si="38"/>
        <v>0</v>
      </c>
      <c r="BQ57" s="11">
        <f t="shared" si="39"/>
        <v>0</v>
      </c>
      <c r="BR57" s="11">
        <f t="shared" si="40"/>
        <v>0</v>
      </c>
      <c r="BS57" s="11">
        <f t="shared" ref="BS57:BU57" si="166">+(1-BP57)</f>
        <v>1</v>
      </c>
      <c r="BT57" s="11">
        <f t="shared" si="166"/>
        <v>1</v>
      </c>
      <c r="BU57" s="11">
        <f t="shared" si="166"/>
        <v>1</v>
      </c>
      <c r="BV57" s="19" t="e">
        <f t="shared" ref="BV57:BX57" si="167">ROUND(1/BP57,2)</f>
        <v>#DIV/0!</v>
      </c>
      <c r="BW57" s="19" t="e">
        <f t="shared" si="167"/>
        <v>#DIV/0!</v>
      </c>
      <c r="BX57" s="19" t="e">
        <f t="shared" si="167"/>
        <v>#DIV/0!</v>
      </c>
      <c r="BY57" s="7">
        <f t="shared" si="122"/>
        <v>0</v>
      </c>
    </row>
    <row r="58" spans="2:77">
      <c r="B58" s="151">
        <f>+Carga!K58</f>
        <v>0</v>
      </c>
      <c r="C58" s="153">
        <f>+'Calculadora VDFA'!$M$6</f>
        <v>0.61</v>
      </c>
      <c r="E58" s="17">
        <f>Carga!L58</f>
        <v>0</v>
      </c>
      <c r="F58" s="17">
        <f t="shared" si="123"/>
        <v>0</v>
      </c>
      <c r="G58" s="18">
        <f>+MAX(Carga!$D$8,MIN(Carga!$F$8,Carga!$E$8+$C58))</f>
        <v>0.61</v>
      </c>
      <c r="H58" s="17">
        <f>F58*G58*Carga!P58/360</f>
        <v>0</v>
      </c>
      <c r="I58" s="155">
        <f t="shared" si="45"/>
        <v>-2.5320332497358322E-9</v>
      </c>
      <c r="J58" s="17">
        <f t="shared" si="46"/>
        <v>0</v>
      </c>
      <c r="K58" s="17">
        <f t="shared" si="47"/>
        <v>0</v>
      </c>
      <c r="L58" s="17">
        <f t="shared" si="0"/>
        <v>0</v>
      </c>
      <c r="N58" s="17">
        <f t="shared" si="1"/>
        <v>0</v>
      </c>
      <c r="O58" s="17">
        <f t="shared" si="48"/>
        <v>0</v>
      </c>
      <c r="P58" s="18">
        <f>+MAX(Carga!$D$9,MIN(Carga!$F$9,Carga!$E$9+$C58))</f>
        <v>0.63</v>
      </c>
      <c r="Q58" s="17">
        <f>+O58*P58*Carga!P58/360</f>
        <v>0</v>
      </c>
      <c r="R58" s="17">
        <f t="shared" si="49"/>
        <v>0</v>
      </c>
      <c r="S58" s="17">
        <f t="shared" si="117"/>
        <v>0</v>
      </c>
      <c r="T58" s="17">
        <f t="shared" si="61"/>
        <v>0</v>
      </c>
      <c r="U58" s="17">
        <f t="shared" si="4"/>
        <v>0</v>
      </c>
      <c r="W58" s="17">
        <f t="shared" si="5"/>
        <v>0</v>
      </c>
      <c r="X58" s="17">
        <f t="shared" si="50"/>
        <v>0</v>
      </c>
      <c r="Y58" s="18">
        <f>+MAX(Carga!$D$10,MIN(Carga!$F$10,Carga!$E$10+$C58))</f>
        <v>0.61</v>
      </c>
      <c r="Z58" s="17">
        <f t="shared" si="51"/>
        <v>0</v>
      </c>
      <c r="AA58" s="17">
        <f t="shared" si="6"/>
        <v>0</v>
      </c>
      <c r="AB58" s="17">
        <f t="shared" si="7"/>
        <v>0</v>
      </c>
      <c r="AC58" s="17">
        <f t="shared" si="8"/>
        <v>0</v>
      </c>
      <c r="AE58" s="17">
        <f t="shared" si="9"/>
        <v>0</v>
      </c>
      <c r="AF58" s="17">
        <f t="shared" si="52"/>
        <v>100</v>
      </c>
      <c r="AG58" s="16" t="b">
        <f>IF(MAX(AE59:AE$65)&gt;0,FALSE,TRUE)</f>
        <v>1</v>
      </c>
      <c r="AH58" s="17">
        <f t="shared" si="11"/>
        <v>0</v>
      </c>
      <c r="AI58" s="17">
        <f t="shared" si="12"/>
        <v>0</v>
      </c>
      <c r="AJ58" s="17">
        <f t="shared" si="13"/>
        <v>0</v>
      </c>
      <c r="AL58" s="16">
        <f t="shared" si="118"/>
        <v>-44789</v>
      </c>
      <c r="AN58" s="17">
        <f t="shared" si="15"/>
        <v>0</v>
      </c>
      <c r="AO58" s="17" t="e">
        <f t="shared" si="16"/>
        <v>#NUM!</v>
      </c>
      <c r="AP58" s="16" t="e">
        <f t="shared" si="17"/>
        <v>#NUM!</v>
      </c>
      <c r="AR58" s="17">
        <f t="shared" si="18"/>
        <v>0</v>
      </c>
      <c r="AS58" s="17" t="e">
        <f t="shared" si="19"/>
        <v>#NUM!</v>
      </c>
      <c r="AT58" s="17" t="e">
        <f t="shared" si="20"/>
        <v>#NUM!</v>
      </c>
      <c r="AV58" s="17">
        <f t="shared" si="21"/>
        <v>0</v>
      </c>
      <c r="AW58" s="17" t="e">
        <f t="shared" si="22"/>
        <v>#NUM!</v>
      </c>
      <c r="AX58" s="17" t="e">
        <f t="shared" si="23"/>
        <v>#NUM!</v>
      </c>
      <c r="AZ58" s="17">
        <f t="shared" si="24"/>
        <v>0</v>
      </c>
      <c r="BA58" s="17" t="e">
        <f t="shared" si="25"/>
        <v>#NUM!</v>
      </c>
      <c r="BB58" s="17" t="e">
        <f t="shared" si="26"/>
        <v>#NUM!</v>
      </c>
      <c r="BD58" s="17">
        <f t="shared" si="27"/>
        <v>0</v>
      </c>
      <c r="BE58" s="17">
        <f t="shared" si="28"/>
        <v>0</v>
      </c>
      <c r="BF58" s="17">
        <f t="shared" si="29"/>
        <v>0</v>
      </c>
      <c r="BG58" s="17">
        <f t="shared" si="30"/>
        <v>0</v>
      </c>
      <c r="BI58" s="17" t="e">
        <f t="shared" si="31"/>
        <v>#DIV/0!</v>
      </c>
      <c r="BJ58" s="17" t="e">
        <f t="shared" si="32"/>
        <v>#DIV/0!</v>
      </c>
      <c r="BK58" s="17">
        <f t="shared" ca="1" si="119"/>
        <v>0</v>
      </c>
      <c r="BL58" s="17">
        <f t="shared" si="150"/>
        <v>795010</v>
      </c>
      <c r="BM58" s="17">
        <f t="shared" si="151"/>
        <v>0</v>
      </c>
      <c r="BN58" s="17">
        <f t="shared" si="152"/>
        <v>0</v>
      </c>
      <c r="BO58" s="17">
        <f t="shared" si="153"/>
        <v>0</v>
      </c>
      <c r="BP58" s="18">
        <f t="shared" si="38"/>
        <v>0</v>
      </c>
      <c r="BQ58" s="18">
        <f t="shared" si="39"/>
        <v>0</v>
      </c>
      <c r="BR58" s="18">
        <f t="shared" si="40"/>
        <v>0</v>
      </c>
      <c r="BS58" s="18">
        <f t="shared" ref="BS58:BU58" si="168">+(1-BP58)</f>
        <v>1</v>
      </c>
      <c r="BT58" s="18">
        <f t="shared" si="168"/>
        <v>1</v>
      </c>
      <c r="BU58" s="18">
        <f t="shared" si="168"/>
        <v>1</v>
      </c>
      <c r="BV58" s="20" t="e">
        <f t="shared" ref="BV58:BX58" si="169">ROUND(1/BP58,2)</f>
        <v>#DIV/0!</v>
      </c>
      <c r="BW58" s="20" t="e">
        <f t="shared" si="169"/>
        <v>#DIV/0!</v>
      </c>
      <c r="BX58" s="20" t="e">
        <f t="shared" si="169"/>
        <v>#DIV/0!</v>
      </c>
      <c r="BY58" s="15">
        <f t="shared" si="122"/>
        <v>0</v>
      </c>
    </row>
    <row r="59" spans="2:77">
      <c r="B59" s="151">
        <f>+Carga!K59</f>
        <v>0</v>
      </c>
      <c r="C59" s="152">
        <f>+'Calculadora VDFA'!$M$6</f>
        <v>0.61</v>
      </c>
      <c r="E59" s="6">
        <f>Carga!L59</f>
        <v>0</v>
      </c>
      <c r="F59" s="6">
        <f t="shared" si="123"/>
        <v>0</v>
      </c>
      <c r="G59" s="11">
        <f>+MAX(Carga!$D$8,MIN(Carga!$F$8,Carga!$E$8+$C59))</f>
        <v>0.61</v>
      </c>
      <c r="H59" s="6">
        <f>F59*G59*Carga!P59/360</f>
        <v>0</v>
      </c>
      <c r="I59" s="154">
        <f t="shared" si="45"/>
        <v>-2.5320332497358322E-9</v>
      </c>
      <c r="J59" s="6">
        <f t="shared" si="46"/>
        <v>0</v>
      </c>
      <c r="K59" s="6">
        <f t="shared" si="47"/>
        <v>0</v>
      </c>
      <c r="L59" s="6">
        <f t="shared" si="0"/>
        <v>0</v>
      </c>
      <c r="N59" s="6">
        <f t="shared" si="1"/>
        <v>0</v>
      </c>
      <c r="O59" s="6">
        <f t="shared" si="48"/>
        <v>0</v>
      </c>
      <c r="P59" s="11">
        <f>+MAX(Carga!$D$9,MIN(Carga!$F$9,Carga!$E$9+$C59))</f>
        <v>0.63</v>
      </c>
      <c r="Q59" s="6">
        <f>+O59*P59*Carga!P59/360</f>
        <v>0</v>
      </c>
      <c r="R59" s="6">
        <f t="shared" si="49"/>
        <v>0</v>
      </c>
      <c r="S59" s="6">
        <f t="shared" si="117"/>
        <v>0</v>
      </c>
      <c r="T59" s="6">
        <f t="shared" si="61"/>
        <v>0</v>
      </c>
      <c r="U59" s="6">
        <f t="shared" si="4"/>
        <v>0</v>
      </c>
      <c r="W59" s="6">
        <f t="shared" si="5"/>
        <v>0</v>
      </c>
      <c r="X59" s="6">
        <f t="shared" si="50"/>
        <v>0</v>
      </c>
      <c r="Y59" s="11">
        <f>+MAX(Carga!$D$10,MIN(Carga!$F$10,Carga!$E$10+$C59))</f>
        <v>0.61</v>
      </c>
      <c r="Z59" s="6">
        <f t="shared" si="51"/>
        <v>0</v>
      </c>
      <c r="AA59" s="6">
        <f t="shared" si="6"/>
        <v>0</v>
      </c>
      <c r="AB59" s="6">
        <f t="shared" si="7"/>
        <v>0</v>
      </c>
      <c r="AC59" s="6">
        <f t="shared" si="8"/>
        <v>0</v>
      </c>
      <c r="AE59" s="6">
        <f t="shared" si="9"/>
        <v>0</v>
      </c>
      <c r="AF59" s="6">
        <f t="shared" si="52"/>
        <v>100</v>
      </c>
      <c r="AG59" s="11" t="b">
        <f>IF(MAX(AE$65:AE80)&gt;0,FALSE,TRUE)</f>
        <v>0</v>
      </c>
      <c r="AH59" s="6">
        <f t="shared" si="11"/>
        <v>0</v>
      </c>
      <c r="AI59" s="6">
        <f t="shared" si="12"/>
        <v>0</v>
      </c>
      <c r="AJ59" s="6">
        <f t="shared" si="13"/>
        <v>0</v>
      </c>
      <c r="AL59" s="6">
        <f t="shared" si="118"/>
        <v>-44789</v>
      </c>
      <c r="AN59" s="6">
        <f t="shared" si="15"/>
        <v>0</v>
      </c>
      <c r="AO59" s="6" t="e">
        <f t="shared" si="16"/>
        <v>#NUM!</v>
      </c>
      <c r="AP59" s="6" t="e">
        <f t="shared" si="17"/>
        <v>#NUM!</v>
      </c>
      <c r="AR59" s="6">
        <f t="shared" si="18"/>
        <v>0</v>
      </c>
      <c r="AS59" s="6" t="e">
        <f t="shared" si="19"/>
        <v>#NUM!</v>
      </c>
      <c r="AT59" s="6" t="e">
        <f t="shared" si="20"/>
        <v>#NUM!</v>
      </c>
      <c r="AV59" s="6">
        <f t="shared" si="21"/>
        <v>0</v>
      </c>
      <c r="AW59" s="6" t="e">
        <f t="shared" si="22"/>
        <v>#NUM!</v>
      </c>
      <c r="AX59" s="6" t="e">
        <f t="shared" si="23"/>
        <v>#NUM!</v>
      </c>
      <c r="AZ59" s="6">
        <f t="shared" si="24"/>
        <v>0</v>
      </c>
      <c r="BA59" s="6" t="e">
        <f t="shared" si="25"/>
        <v>#NUM!</v>
      </c>
      <c r="BB59" s="6" t="e">
        <f t="shared" si="26"/>
        <v>#NUM!</v>
      </c>
      <c r="BD59" s="6">
        <f t="shared" si="27"/>
        <v>0</v>
      </c>
      <c r="BE59" s="6">
        <f t="shared" si="28"/>
        <v>0</v>
      </c>
      <c r="BF59" s="6">
        <f t="shared" si="29"/>
        <v>0</v>
      </c>
      <c r="BG59" s="6">
        <f t="shared" si="30"/>
        <v>0</v>
      </c>
      <c r="BI59" s="6" t="e">
        <f t="shared" si="31"/>
        <v>#DIV/0!</v>
      </c>
      <c r="BJ59" s="6" t="e">
        <f t="shared" si="32"/>
        <v>#DIV/0!</v>
      </c>
      <c r="BK59" s="6">
        <f t="shared" ca="1" si="119"/>
        <v>0</v>
      </c>
      <c r="BL59" s="6">
        <f t="shared" si="150"/>
        <v>795010</v>
      </c>
      <c r="BM59" s="6">
        <f t="shared" si="151"/>
        <v>0</v>
      </c>
      <c r="BN59" s="6">
        <f t="shared" si="152"/>
        <v>0</v>
      </c>
      <c r="BO59" s="6">
        <f t="shared" si="153"/>
        <v>0</v>
      </c>
      <c r="BP59" s="11">
        <f t="shared" si="38"/>
        <v>0</v>
      </c>
      <c r="BQ59" s="11">
        <f t="shared" si="39"/>
        <v>0</v>
      </c>
      <c r="BR59" s="11">
        <f t="shared" si="40"/>
        <v>0</v>
      </c>
      <c r="BS59" s="11">
        <f t="shared" ref="BS59:BU59" si="170">+(1-BP59)</f>
        <v>1</v>
      </c>
      <c r="BT59" s="11">
        <f t="shared" si="170"/>
        <v>1</v>
      </c>
      <c r="BU59" s="11">
        <f t="shared" si="170"/>
        <v>1</v>
      </c>
      <c r="BV59" s="19" t="e">
        <f t="shared" ref="BV59:BX59" si="171">ROUND(1/BP59,2)</f>
        <v>#DIV/0!</v>
      </c>
      <c r="BW59" s="19" t="e">
        <f t="shared" si="171"/>
        <v>#DIV/0!</v>
      </c>
      <c r="BX59" s="19" t="e">
        <f t="shared" si="171"/>
        <v>#DIV/0!</v>
      </c>
      <c r="BY59" s="7">
        <f t="shared" si="122"/>
        <v>0</v>
      </c>
    </row>
    <row r="60" spans="2:77">
      <c r="B60" s="151">
        <f>+Carga!K60</f>
        <v>0</v>
      </c>
      <c r="C60" s="153">
        <f>+'Calculadora VDFA'!$M$6</f>
        <v>0.61</v>
      </c>
      <c r="E60" s="17">
        <f>Carga!L60</f>
        <v>0</v>
      </c>
      <c r="F60" s="17">
        <f t="shared" si="123"/>
        <v>0</v>
      </c>
      <c r="G60" s="18">
        <f>+MAX(Carga!$D$8,MIN(Carga!$F$8,Carga!$E$8+$C60))</f>
        <v>0.61</v>
      </c>
      <c r="H60" s="17">
        <f>F60*G60*Carga!P60/360</f>
        <v>0</v>
      </c>
      <c r="I60" s="155">
        <f t="shared" si="45"/>
        <v>-2.5320332497358322E-9</v>
      </c>
      <c r="J60" s="17">
        <f t="shared" si="46"/>
        <v>0</v>
      </c>
      <c r="K60" s="17">
        <f t="shared" si="47"/>
        <v>0</v>
      </c>
      <c r="L60" s="17">
        <f t="shared" si="0"/>
        <v>0</v>
      </c>
      <c r="N60" s="17">
        <f t="shared" si="1"/>
        <v>0</v>
      </c>
      <c r="O60" s="17">
        <f t="shared" si="48"/>
        <v>0</v>
      </c>
      <c r="P60" s="18">
        <f>+MAX(Carga!$D$9,MIN(Carga!$F$9,Carga!$E$9+$C60))</f>
        <v>0.63</v>
      </c>
      <c r="Q60" s="17">
        <f>+O60*P60*Carga!P60/360</f>
        <v>0</v>
      </c>
      <c r="R60" s="17">
        <f t="shared" si="49"/>
        <v>0</v>
      </c>
      <c r="S60" s="17">
        <f t="shared" si="117"/>
        <v>0</v>
      </c>
      <c r="T60" s="17">
        <f t="shared" si="61"/>
        <v>0</v>
      </c>
      <c r="U60" s="17">
        <f t="shared" si="4"/>
        <v>0</v>
      </c>
      <c r="W60" s="17">
        <f t="shared" si="5"/>
        <v>0</v>
      </c>
      <c r="X60" s="17">
        <f t="shared" si="50"/>
        <v>0</v>
      </c>
      <c r="Y60" s="18">
        <f>+MAX(Carga!$D$10,MIN(Carga!$F$10,Carga!$E$10+$C60))</f>
        <v>0.61</v>
      </c>
      <c r="Z60" s="17">
        <f t="shared" si="51"/>
        <v>0</v>
      </c>
      <c r="AA60" s="17">
        <f t="shared" si="6"/>
        <v>0</v>
      </c>
      <c r="AB60" s="17">
        <f t="shared" si="7"/>
        <v>0</v>
      </c>
      <c r="AC60" s="17">
        <f t="shared" si="8"/>
        <v>0</v>
      </c>
      <c r="AE60" s="17">
        <f t="shared" si="9"/>
        <v>0</v>
      </c>
      <c r="AF60" s="17">
        <f t="shared" si="52"/>
        <v>100</v>
      </c>
      <c r="AG60" s="16" t="b">
        <f>IF(MAX(AE61:AE$65)&gt;0,FALSE,TRUE)</f>
        <v>1</v>
      </c>
      <c r="AH60" s="17">
        <f t="shared" si="11"/>
        <v>0</v>
      </c>
      <c r="AI60" s="17">
        <f t="shared" si="12"/>
        <v>0</v>
      </c>
      <c r="AJ60" s="17">
        <f t="shared" si="13"/>
        <v>0</v>
      </c>
      <c r="AL60" s="16">
        <f t="shared" si="118"/>
        <v>-44789</v>
      </c>
      <c r="AN60" s="17">
        <f t="shared" si="15"/>
        <v>0</v>
      </c>
      <c r="AO60" s="17" t="e">
        <f t="shared" si="16"/>
        <v>#NUM!</v>
      </c>
      <c r="AP60" s="16" t="e">
        <f t="shared" si="17"/>
        <v>#NUM!</v>
      </c>
      <c r="AR60" s="17">
        <f t="shared" si="18"/>
        <v>0</v>
      </c>
      <c r="AS60" s="17" t="e">
        <f t="shared" si="19"/>
        <v>#NUM!</v>
      </c>
      <c r="AT60" s="17" t="e">
        <f t="shared" si="20"/>
        <v>#NUM!</v>
      </c>
      <c r="AV60" s="17">
        <f t="shared" si="21"/>
        <v>0</v>
      </c>
      <c r="AW60" s="17" t="e">
        <f t="shared" si="22"/>
        <v>#NUM!</v>
      </c>
      <c r="AX60" s="17" t="e">
        <f t="shared" si="23"/>
        <v>#NUM!</v>
      </c>
      <c r="AZ60" s="17">
        <f t="shared" si="24"/>
        <v>0</v>
      </c>
      <c r="BA60" s="17" t="e">
        <f t="shared" si="25"/>
        <v>#NUM!</v>
      </c>
      <c r="BB60" s="17" t="e">
        <f t="shared" si="26"/>
        <v>#NUM!</v>
      </c>
      <c r="BD60" s="17">
        <f t="shared" si="27"/>
        <v>0</v>
      </c>
      <c r="BE60" s="17">
        <f t="shared" si="28"/>
        <v>0</v>
      </c>
      <c r="BF60" s="17">
        <f t="shared" si="29"/>
        <v>0</v>
      </c>
      <c r="BG60" s="17">
        <f t="shared" si="30"/>
        <v>0</v>
      </c>
      <c r="BI60" s="17" t="e">
        <f t="shared" si="31"/>
        <v>#DIV/0!</v>
      </c>
      <c r="BJ60" s="17" t="e">
        <f t="shared" si="32"/>
        <v>#DIV/0!</v>
      </c>
      <c r="BK60" s="17">
        <f t="shared" ca="1" si="119"/>
        <v>0</v>
      </c>
      <c r="BL60" s="17">
        <f t="shared" si="150"/>
        <v>795010</v>
      </c>
      <c r="BM60" s="17">
        <f t="shared" si="151"/>
        <v>0</v>
      </c>
      <c r="BN60" s="17">
        <f t="shared" si="152"/>
        <v>0</v>
      </c>
      <c r="BO60" s="17">
        <f t="shared" si="153"/>
        <v>0</v>
      </c>
      <c r="BP60" s="18">
        <f t="shared" si="38"/>
        <v>0</v>
      </c>
      <c r="BQ60" s="18">
        <f t="shared" si="39"/>
        <v>0</v>
      </c>
      <c r="BR60" s="18">
        <f t="shared" si="40"/>
        <v>0</v>
      </c>
      <c r="BS60" s="18">
        <f t="shared" ref="BS60:BU60" si="172">+(1-BP60)</f>
        <v>1</v>
      </c>
      <c r="BT60" s="18">
        <f t="shared" si="172"/>
        <v>1</v>
      </c>
      <c r="BU60" s="18">
        <f t="shared" si="172"/>
        <v>1</v>
      </c>
      <c r="BV60" s="20" t="e">
        <f t="shared" ref="BV60:BX60" si="173">ROUND(1/BP60,2)</f>
        <v>#DIV/0!</v>
      </c>
      <c r="BW60" s="20" t="e">
        <f t="shared" si="173"/>
        <v>#DIV/0!</v>
      </c>
      <c r="BX60" s="20" t="e">
        <f t="shared" si="173"/>
        <v>#DIV/0!</v>
      </c>
      <c r="BY60" s="15">
        <f t="shared" si="122"/>
        <v>0</v>
      </c>
    </row>
    <row r="61" spans="2:77">
      <c r="B61" s="151">
        <f>+Carga!K61</f>
        <v>0</v>
      </c>
      <c r="C61" s="152">
        <f>+'Calculadora VDFA'!$M$6</f>
        <v>0.61</v>
      </c>
      <c r="E61" s="6">
        <f>Carga!L61</f>
        <v>0</v>
      </c>
      <c r="F61" s="6">
        <f t="shared" si="123"/>
        <v>0</v>
      </c>
      <c r="G61" s="11">
        <f>+MAX(Carga!$D$8,MIN(Carga!$F$8,Carga!$E$8+$C61))</f>
        <v>0.61</v>
      </c>
      <c r="H61" s="6">
        <f>F61*G61*Carga!P61/360</f>
        <v>0</v>
      </c>
      <c r="I61" s="154">
        <f t="shared" si="45"/>
        <v>-2.5320332497358322E-9</v>
      </c>
      <c r="J61" s="6">
        <f t="shared" si="46"/>
        <v>0</v>
      </c>
      <c r="K61" s="6">
        <f t="shared" si="47"/>
        <v>0</v>
      </c>
      <c r="L61" s="6">
        <f t="shared" si="0"/>
        <v>0</v>
      </c>
      <c r="N61" s="6">
        <f t="shared" si="1"/>
        <v>0</v>
      </c>
      <c r="O61" s="6">
        <f t="shared" si="48"/>
        <v>0</v>
      </c>
      <c r="P61" s="11">
        <f>+MAX(Carga!$D$9,MIN(Carga!$F$9,Carga!$E$9+$C61))</f>
        <v>0.63</v>
      </c>
      <c r="Q61" s="6">
        <f>+O61*P61*Carga!P61/360</f>
        <v>0</v>
      </c>
      <c r="R61" s="6">
        <f t="shared" si="49"/>
        <v>0</v>
      </c>
      <c r="S61" s="6">
        <f t="shared" si="117"/>
        <v>0</v>
      </c>
      <c r="T61" s="6">
        <f t="shared" si="61"/>
        <v>0</v>
      </c>
      <c r="U61" s="6">
        <f t="shared" si="4"/>
        <v>0</v>
      </c>
      <c r="W61" s="6">
        <f t="shared" si="5"/>
        <v>0</v>
      </c>
      <c r="X61" s="6">
        <f t="shared" si="50"/>
        <v>0</v>
      </c>
      <c r="Y61" s="11">
        <f>+MAX(Carga!$D$10,MIN(Carga!$F$10,Carga!$E$10+$C61))</f>
        <v>0.61</v>
      </c>
      <c r="Z61" s="6">
        <f t="shared" si="51"/>
        <v>0</v>
      </c>
      <c r="AA61" s="6">
        <f t="shared" si="6"/>
        <v>0</v>
      </c>
      <c r="AB61" s="6">
        <f t="shared" si="7"/>
        <v>0</v>
      </c>
      <c r="AC61" s="6">
        <f t="shared" si="8"/>
        <v>0</v>
      </c>
      <c r="AE61" s="6">
        <f t="shared" si="9"/>
        <v>0</v>
      </c>
      <c r="AF61" s="6">
        <f t="shared" si="52"/>
        <v>100</v>
      </c>
      <c r="AG61" s="11" t="b">
        <f>IF(MAX(AE$65:AE82)&gt;0,FALSE,TRUE)</f>
        <v>0</v>
      </c>
      <c r="AH61" s="6">
        <f t="shared" si="11"/>
        <v>0</v>
      </c>
      <c r="AI61" s="6">
        <f t="shared" si="12"/>
        <v>0</v>
      </c>
      <c r="AJ61" s="6">
        <f t="shared" si="13"/>
        <v>0</v>
      </c>
      <c r="AL61" s="6">
        <f t="shared" si="118"/>
        <v>-44789</v>
      </c>
      <c r="AN61" s="6">
        <f t="shared" si="15"/>
        <v>0</v>
      </c>
      <c r="AO61" s="6" t="e">
        <f t="shared" si="16"/>
        <v>#NUM!</v>
      </c>
      <c r="AP61" s="6" t="e">
        <f t="shared" si="17"/>
        <v>#NUM!</v>
      </c>
      <c r="AR61" s="6">
        <f t="shared" si="18"/>
        <v>0</v>
      </c>
      <c r="AS61" s="6" t="e">
        <f t="shared" si="19"/>
        <v>#NUM!</v>
      </c>
      <c r="AT61" s="6" t="e">
        <f t="shared" si="20"/>
        <v>#NUM!</v>
      </c>
      <c r="AV61" s="6">
        <f t="shared" si="21"/>
        <v>0</v>
      </c>
      <c r="AW61" s="6" t="e">
        <f t="shared" si="22"/>
        <v>#NUM!</v>
      </c>
      <c r="AX61" s="6" t="e">
        <f t="shared" si="23"/>
        <v>#NUM!</v>
      </c>
      <c r="AZ61" s="6">
        <f t="shared" si="24"/>
        <v>0</v>
      </c>
      <c r="BA61" s="6" t="e">
        <f t="shared" si="25"/>
        <v>#NUM!</v>
      </c>
      <c r="BB61" s="6" t="e">
        <f t="shared" si="26"/>
        <v>#NUM!</v>
      </c>
      <c r="BD61" s="6">
        <f t="shared" si="27"/>
        <v>0</v>
      </c>
      <c r="BE61" s="6">
        <f t="shared" si="28"/>
        <v>0</v>
      </c>
      <c r="BF61" s="6">
        <f t="shared" si="29"/>
        <v>0</v>
      </c>
      <c r="BG61" s="6">
        <f t="shared" si="30"/>
        <v>0</v>
      </c>
      <c r="BI61" s="6" t="e">
        <f t="shared" si="31"/>
        <v>#DIV/0!</v>
      </c>
      <c r="BJ61" s="6" t="e">
        <f t="shared" si="32"/>
        <v>#DIV/0!</v>
      </c>
      <c r="BK61" s="6">
        <f t="shared" ca="1" si="119"/>
        <v>0</v>
      </c>
      <c r="BL61" s="6">
        <f t="shared" si="150"/>
        <v>795010</v>
      </c>
      <c r="BM61" s="6">
        <f t="shared" si="151"/>
        <v>0</v>
      </c>
      <c r="BN61" s="6">
        <f t="shared" si="152"/>
        <v>0</v>
      </c>
      <c r="BO61" s="6">
        <f t="shared" si="153"/>
        <v>0</v>
      </c>
      <c r="BP61" s="11">
        <f t="shared" si="38"/>
        <v>0</v>
      </c>
      <c r="BQ61" s="11">
        <f t="shared" si="39"/>
        <v>0</v>
      </c>
      <c r="BR61" s="11">
        <f t="shared" si="40"/>
        <v>0</v>
      </c>
      <c r="BS61" s="11">
        <f t="shared" ref="BS61:BU61" si="174">+(1-BP61)</f>
        <v>1</v>
      </c>
      <c r="BT61" s="11">
        <f t="shared" si="174"/>
        <v>1</v>
      </c>
      <c r="BU61" s="11">
        <f t="shared" si="174"/>
        <v>1</v>
      </c>
      <c r="BV61" s="19" t="e">
        <f t="shared" ref="BV61:BX61" si="175">ROUND(1/BP61,2)</f>
        <v>#DIV/0!</v>
      </c>
      <c r="BW61" s="19" t="e">
        <f t="shared" si="175"/>
        <v>#DIV/0!</v>
      </c>
      <c r="BX61" s="19" t="e">
        <f t="shared" si="175"/>
        <v>#DIV/0!</v>
      </c>
      <c r="BY61" s="7">
        <f t="shared" si="122"/>
        <v>0</v>
      </c>
    </row>
    <row r="62" spans="2:77">
      <c r="B62" s="151">
        <f>+Carga!K62</f>
        <v>0</v>
      </c>
      <c r="C62" s="153">
        <f>+'Calculadora VDFA'!$M$6</f>
        <v>0.61</v>
      </c>
      <c r="E62" s="17">
        <f>Carga!L62</f>
        <v>0</v>
      </c>
      <c r="F62" s="17">
        <f t="shared" si="123"/>
        <v>0</v>
      </c>
      <c r="G62" s="18">
        <f>+MAX(Carga!$D$8,MIN(Carga!$F$8,Carga!$E$8+$C62))</f>
        <v>0.61</v>
      </c>
      <c r="H62" s="17">
        <f>F62*G62*Carga!P62/360</f>
        <v>0</v>
      </c>
      <c r="I62" s="155">
        <f t="shared" si="45"/>
        <v>-2.5320332497358322E-9</v>
      </c>
      <c r="J62" s="17">
        <f t="shared" si="46"/>
        <v>0</v>
      </c>
      <c r="K62" s="17">
        <f t="shared" si="47"/>
        <v>0</v>
      </c>
      <c r="L62" s="17">
        <f t="shared" si="0"/>
        <v>0</v>
      </c>
      <c r="N62" s="17">
        <f t="shared" si="1"/>
        <v>0</v>
      </c>
      <c r="O62" s="17">
        <f t="shared" si="48"/>
        <v>0</v>
      </c>
      <c r="P62" s="18">
        <f>+MAX(Carga!$D$9,MIN(Carga!$F$9,Carga!$E$9+$C62))</f>
        <v>0.63</v>
      </c>
      <c r="Q62" s="17">
        <f>+O62*P62*Carga!P62/360</f>
        <v>0</v>
      </c>
      <c r="R62" s="17">
        <f t="shared" si="49"/>
        <v>0</v>
      </c>
      <c r="S62" s="17">
        <f t="shared" si="117"/>
        <v>0</v>
      </c>
      <c r="T62" s="17">
        <f t="shared" si="61"/>
        <v>0</v>
      </c>
      <c r="U62" s="17">
        <f t="shared" si="4"/>
        <v>0</v>
      </c>
      <c r="W62" s="17">
        <f t="shared" si="5"/>
        <v>0</v>
      </c>
      <c r="X62" s="17">
        <f t="shared" si="50"/>
        <v>0</v>
      </c>
      <c r="Y62" s="18">
        <f>+MAX(Carga!$D$10,MIN(Carga!$F$10,Carga!$E$10+$C62))</f>
        <v>0.61</v>
      </c>
      <c r="Z62" s="17">
        <f t="shared" si="51"/>
        <v>0</v>
      </c>
      <c r="AA62" s="17">
        <f t="shared" si="6"/>
        <v>0</v>
      </c>
      <c r="AB62" s="17">
        <f t="shared" si="7"/>
        <v>0</v>
      </c>
      <c r="AC62" s="17">
        <f t="shared" si="8"/>
        <v>0</v>
      </c>
      <c r="AE62" s="17">
        <f t="shared" si="9"/>
        <v>0</v>
      </c>
      <c r="AF62" s="17">
        <f t="shared" si="52"/>
        <v>100</v>
      </c>
      <c r="AG62" s="16" t="b">
        <f>IF(MAX(AE63:AE$65)&gt;0,FALSE,TRUE)</f>
        <v>1</v>
      </c>
      <c r="AH62" s="17">
        <f t="shared" si="11"/>
        <v>0</v>
      </c>
      <c r="AI62" s="17">
        <f t="shared" si="12"/>
        <v>0</v>
      </c>
      <c r="AJ62" s="17">
        <f t="shared" si="13"/>
        <v>0</v>
      </c>
      <c r="AL62" s="16">
        <f t="shared" si="118"/>
        <v>-44789</v>
      </c>
      <c r="AN62" s="17">
        <f t="shared" si="15"/>
        <v>0</v>
      </c>
      <c r="AO62" s="17" t="e">
        <f t="shared" si="16"/>
        <v>#NUM!</v>
      </c>
      <c r="AP62" s="16" t="e">
        <f t="shared" si="17"/>
        <v>#NUM!</v>
      </c>
      <c r="AR62" s="17">
        <f t="shared" si="18"/>
        <v>0</v>
      </c>
      <c r="AS62" s="17" t="e">
        <f t="shared" si="19"/>
        <v>#NUM!</v>
      </c>
      <c r="AT62" s="17" t="e">
        <f t="shared" si="20"/>
        <v>#NUM!</v>
      </c>
      <c r="AV62" s="17">
        <f t="shared" si="21"/>
        <v>0</v>
      </c>
      <c r="AW62" s="17" t="e">
        <f t="shared" si="22"/>
        <v>#NUM!</v>
      </c>
      <c r="AX62" s="17" t="e">
        <f t="shared" si="23"/>
        <v>#NUM!</v>
      </c>
      <c r="AZ62" s="17">
        <f t="shared" si="24"/>
        <v>0</v>
      </c>
      <c r="BA62" s="17" t="e">
        <f t="shared" si="25"/>
        <v>#NUM!</v>
      </c>
      <c r="BB62" s="17" t="e">
        <f t="shared" si="26"/>
        <v>#NUM!</v>
      </c>
      <c r="BD62" s="17">
        <f t="shared" si="27"/>
        <v>0</v>
      </c>
      <c r="BE62" s="17">
        <f t="shared" si="28"/>
        <v>0</v>
      </c>
      <c r="BF62" s="17">
        <f t="shared" si="29"/>
        <v>0</v>
      </c>
      <c r="BG62" s="17">
        <f t="shared" si="30"/>
        <v>0</v>
      </c>
      <c r="BI62" s="17" t="e">
        <f t="shared" si="31"/>
        <v>#DIV/0!</v>
      </c>
      <c r="BJ62" s="17" t="e">
        <f t="shared" si="32"/>
        <v>#DIV/0!</v>
      </c>
      <c r="BK62" s="17">
        <f t="shared" ca="1" si="119"/>
        <v>0</v>
      </c>
      <c r="BL62" s="17">
        <f t="shared" si="150"/>
        <v>795010</v>
      </c>
      <c r="BM62" s="17">
        <f t="shared" si="151"/>
        <v>0</v>
      </c>
      <c r="BN62" s="17">
        <f t="shared" si="152"/>
        <v>0</v>
      </c>
      <c r="BO62" s="17">
        <f t="shared" si="153"/>
        <v>0</v>
      </c>
      <c r="BP62" s="18">
        <f t="shared" si="38"/>
        <v>0</v>
      </c>
      <c r="BQ62" s="18">
        <f t="shared" si="39"/>
        <v>0</v>
      </c>
      <c r="BR62" s="18">
        <f t="shared" si="40"/>
        <v>0</v>
      </c>
      <c r="BS62" s="18">
        <f t="shared" ref="BS62:BU62" si="176">+(1-BP62)</f>
        <v>1</v>
      </c>
      <c r="BT62" s="18">
        <f t="shared" si="176"/>
        <v>1</v>
      </c>
      <c r="BU62" s="18">
        <f t="shared" si="176"/>
        <v>1</v>
      </c>
      <c r="BV62" s="20" t="e">
        <f t="shared" ref="BV62:BX62" si="177">ROUND(1/BP62,2)</f>
        <v>#DIV/0!</v>
      </c>
      <c r="BW62" s="20" t="e">
        <f t="shared" si="177"/>
        <v>#DIV/0!</v>
      </c>
      <c r="BX62" s="20" t="e">
        <f t="shared" si="177"/>
        <v>#DIV/0!</v>
      </c>
      <c r="BY62" s="15">
        <f t="shared" si="122"/>
        <v>0</v>
      </c>
    </row>
    <row r="63" spans="2:77">
      <c r="B63" s="151">
        <f>+Carga!K63</f>
        <v>0</v>
      </c>
      <c r="C63" s="152">
        <f>+'Calculadora VDFA'!$M$6</f>
        <v>0.61</v>
      </c>
      <c r="E63" s="6">
        <f>Carga!L63</f>
        <v>0</v>
      </c>
      <c r="F63" s="6">
        <f t="shared" si="123"/>
        <v>0</v>
      </c>
      <c r="G63" s="11">
        <f>+MAX(Carga!$D$8,MIN(Carga!$F$8,Carga!$E$8+$C63))</f>
        <v>0.61</v>
      </c>
      <c r="H63" s="6">
        <f>F63*G63*Carga!P63/360</f>
        <v>0</v>
      </c>
      <c r="I63" s="154">
        <f t="shared" si="45"/>
        <v>-2.5320332497358322E-9</v>
      </c>
      <c r="J63" s="6">
        <f t="shared" si="46"/>
        <v>0</v>
      </c>
      <c r="K63" s="6">
        <f t="shared" si="47"/>
        <v>0</v>
      </c>
      <c r="L63" s="6">
        <f t="shared" si="0"/>
        <v>0</v>
      </c>
      <c r="N63" s="6">
        <f t="shared" si="1"/>
        <v>0</v>
      </c>
      <c r="O63" s="6">
        <f t="shared" si="48"/>
        <v>0</v>
      </c>
      <c r="P63" s="11">
        <f>+MAX(Carga!$D$9,MIN(Carga!$F$9,Carga!$E$9+$C63))</f>
        <v>0.63</v>
      </c>
      <c r="Q63" s="6">
        <f>+O63*P63*Carga!P63/360</f>
        <v>0</v>
      </c>
      <c r="R63" s="6">
        <f t="shared" si="49"/>
        <v>0</v>
      </c>
      <c r="S63" s="6">
        <f t="shared" si="117"/>
        <v>0</v>
      </c>
      <c r="T63" s="6">
        <f t="shared" si="61"/>
        <v>0</v>
      </c>
      <c r="U63" s="6">
        <f t="shared" si="4"/>
        <v>0</v>
      </c>
      <c r="W63" s="6">
        <f t="shared" si="5"/>
        <v>0</v>
      </c>
      <c r="X63" s="6">
        <f t="shared" si="50"/>
        <v>0</v>
      </c>
      <c r="Y63" s="11">
        <f>+MAX(Carga!$D$10,MIN(Carga!$F$10,Carga!$E$10+$C63))</f>
        <v>0.61</v>
      </c>
      <c r="Z63" s="6">
        <f t="shared" si="51"/>
        <v>0</v>
      </c>
      <c r="AA63" s="6">
        <f t="shared" si="6"/>
        <v>0</v>
      </c>
      <c r="AB63" s="6">
        <f t="shared" si="7"/>
        <v>0</v>
      </c>
      <c r="AC63" s="6">
        <f t="shared" si="8"/>
        <v>0</v>
      </c>
      <c r="AE63" s="6">
        <f t="shared" si="9"/>
        <v>0</v>
      </c>
      <c r="AF63" s="6">
        <f t="shared" si="52"/>
        <v>100</v>
      </c>
      <c r="AG63" s="11" t="b">
        <f>IF(MAX(AE$65:AE84)&gt;0,FALSE,TRUE)</f>
        <v>0</v>
      </c>
      <c r="AH63" s="6">
        <f t="shared" si="11"/>
        <v>0</v>
      </c>
      <c r="AI63" s="6">
        <f t="shared" si="12"/>
        <v>0</v>
      </c>
      <c r="AJ63" s="6">
        <f t="shared" si="13"/>
        <v>0</v>
      </c>
      <c r="AL63" s="6">
        <f t="shared" si="118"/>
        <v>-44789</v>
      </c>
      <c r="AN63" s="6">
        <f t="shared" si="15"/>
        <v>0</v>
      </c>
      <c r="AO63" s="6" t="e">
        <f t="shared" si="16"/>
        <v>#NUM!</v>
      </c>
      <c r="AP63" s="6" t="e">
        <f t="shared" si="17"/>
        <v>#NUM!</v>
      </c>
      <c r="AR63" s="6">
        <f t="shared" si="18"/>
        <v>0</v>
      </c>
      <c r="AS63" s="6" t="e">
        <f t="shared" si="19"/>
        <v>#NUM!</v>
      </c>
      <c r="AT63" s="6" t="e">
        <f t="shared" si="20"/>
        <v>#NUM!</v>
      </c>
      <c r="AV63" s="6">
        <f t="shared" si="21"/>
        <v>0</v>
      </c>
      <c r="AW63" s="6" t="e">
        <f t="shared" si="22"/>
        <v>#NUM!</v>
      </c>
      <c r="AX63" s="6" t="e">
        <f t="shared" si="23"/>
        <v>#NUM!</v>
      </c>
      <c r="AZ63" s="6">
        <f t="shared" si="24"/>
        <v>0</v>
      </c>
      <c r="BA63" s="6" t="e">
        <f t="shared" si="25"/>
        <v>#NUM!</v>
      </c>
      <c r="BB63" s="6" t="e">
        <f t="shared" si="26"/>
        <v>#NUM!</v>
      </c>
      <c r="BD63" s="6">
        <f t="shared" si="27"/>
        <v>0</v>
      </c>
      <c r="BE63" s="6">
        <f t="shared" si="28"/>
        <v>0</v>
      </c>
      <c r="BF63" s="6">
        <f t="shared" si="29"/>
        <v>0</v>
      </c>
      <c r="BG63" s="6">
        <f t="shared" si="30"/>
        <v>0</v>
      </c>
      <c r="BI63" s="6" t="e">
        <f t="shared" si="31"/>
        <v>#DIV/0!</v>
      </c>
      <c r="BJ63" s="6" t="e">
        <f t="shared" si="32"/>
        <v>#DIV/0!</v>
      </c>
      <c r="BK63" s="6">
        <f t="shared" ca="1" si="119"/>
        <v>0</v>
      </c>
      <c r="BL63" s="6">
        <f t="shared" si="150"/>
        <v>795010</v>
      </c>
      <c r="BM63" s="6">
        <f t="shared" si="151"/>
        <v>0</v>
      </c>
      <c r="BN63" s="6">
        <f t="shared" si="152"/>
        <v>0</v>
      </c>
      <c r="BO63" s="6">
        <f t="shared" si="153"/>
        <v>0</v>
      </c>
      <c r="BP63" s="11">
        <f t="shared" si="38"/>
        <v>0</v>
      </c>
      <c r="BQ63" s="11">
        <f t="shared" si="39"/>
        <v>0</v>
      </c>
      <c r="BR63" s="11">
        <f t="shared" si="40"/>
        <v>0</v>
      </c>
      <c r="BS63" s="11">
        <f t="shared" ref="BS63:BU63" si="178">+(1-BP63)</f>
        <v>1</v>
      </c>
      <c r="BT63" s="11">
        <f t="shared" si="178"/>
        <v>1</v>
      </c>
      <c r="BU63" s="11">
        <f t="shared" si="178"/>
        <v>1</v>
      </c>
      <c r="BV63" s="19" t="e">
        <f t="shared" ref="BV63:BX63" si="179">ROUND(1/BP63,2)</f>
        <v>#DIV/0!</v>
      </c>
      <c r="BW63" s="19" t="e">
        <f t="shared" si="179"/>
        <v>#DIV/0!</v>
      </c>
      <c r="BX63" s="19" t="e">
        <f t="shared" si="179"/>
        <v>#DIV/0!</v>
      </c>
      <c r="BY63" s="7">
        <f t="shared" si="122"/>
        <v>0</v>
      </c>
    </row>
    <row r="64" spans="2:77">
      <c r="B64" s="151">
        <f>+Carga!K64</f>
        <v>0</v>
      </c>
      <c r="C64" s="153">
        <f>+'Calculadora VDFA'!$M$6</f>
        <v>0.61</v>
      </c>
      <c r="E64" s="17">
        <f>Carga!L64</f>
        <v>0</v>
      </c>
      <c r="F64" s="17">
        <f t="shared" si="123"/>
        <v>0</v>
      </c>
      <c r="G64" s="18">
        <f>+MAX(Carga!$D$8,MIN(Carga!$F$8,Carga!$E$8+$C64))</f>
        <v>0.61</v>
      </c>
      <c r="H64" s="17">
        <f>F64*G64*Carga!P64/360</f>
        <v>0</v>
      </c>
      <c r="I64" s="155">
        <f t="shared" si="45"/>
        <v>-2.5320332497358322E-9</v>
      </c>
      <c r="J64" s="17">
        <f t="shared" si="46"/>
        <v>0</v>
      </c>
      <c r="K64" s="17">
        <f t="shared" si="47"/>
        <v>0</v>
      </c>
      <c r="L64" s="17">
        <f t="shared" si="0"/>
        <v>0</v>
      </c>
      <c r="N64" s="17">
        <f t="shared" si="1"/>
        <v>0</v>
      </c>
      <c r="O64" s="17">
        <f t="shared" si="48"/>
        <v>0</v>
      </c>
      <c r="P64" s="18">
        <f>+MAX(Carga!$D$9,MIN(Carga!$F$9,Carga!$E$9+$C64))</f>
        <v>0.63</v>
      </c>
      <c r="Q64" s="17">
        <f>+O64*P64*Carga!P64/360</f>
        <v>0</v>
      </c>
      <c r="R64" s="17">
        <f t="shared" si="49"/>
        <v>0</v>
      </c>
      <c r="S64" s="17">
        <f t="shared" si="117"/>
        <v>0</v>
      </c>
      <c r="T64" s="17">
        <f t="shared" si="61"/>
        <v>0</v>
      </c>
      <c r="U64" s="17">
        <f t="shared" si="4"/>
        <v>0</v>
      </c>
      <c r="W64" s="17">
        <f t="shared" si="5"/>
        <v>0</v>
      </c>
      <c r="X64" s="17">
        <f t="shared" si="50"/>
        <v>0</v>
      </c>
      <c r="Y64" s="18">
        <f>+MAX(Carga!$D$10,MIN(Carga!$F$10,Carga!$E$10+$C64))</f>
        <v>0.61</v>
      </c>
      <c r="Z64" s="17">
        <f t="shared" si="51"/>
        <v>0</v>
      </c>
      <c r="AA64" s="17">
        <f t="shared" si="6"/>
        <v>0</v>
      </c>
      <c r="AB64" s="17">
        <f t="shared" si="7"/>
        <v>0</v>
      </c>
      <c r="AC64" s="17">
        <f t="shared" si="8"/>
        <v>0</v>
      </c>
      <c r="AE64" s="17">
        <f t="shared" si="9"/>
        <v>0</v>
      </c>
      <c r="AF64" s="17">
        <f t="shared" si="52"/>
        <v>100</v>
      </c>
      <c r="AG64" s="16" t="b">
        <f>IF(MAX(AE65:AE$65)&gt;0,FALSE,TRUE)</f>
        <v>1</v>
      </c>
      <c r="AH64" s="17">
        <f t="shared" si="11"/>
        <v>0</v>
      </c>
      <c r="AI64" s="17">
        <f t="shared" si="12"/>
        <v>0</v>
      </c>
      <c r="AJ64" s="17">
        <f t="shared" si="13"/>
        <v>0</v>
      </c>
      <c r="AL64" s="16">
        <f t="shared" si="118"/>
        <v>-44789</v>
      </c>
      <c r="AN64" s="17">
        <f t="shared" si="15"/>
        <v>0</v>
      </c>
      <c r="AO64" s="17" t="e">
        <f t="shared" si="16"/>
        <v>#NUM!</v>
      </c>
      <c r="AP64" s="16" t="e">
        <f t="shared" si="17"/>
        <v>#NUM!</v>
      </c>
      <c r="AR64" s="17">
        <f t="shared" si="18"/>
        <v>0</v>
      </c>
      <c r="AS64" s="17" t="e">
        <f t="shared" si="19"/>
        <v>#NUM!</v>
      </c>
      <c r="AT64" s="17" t="e">
        <f t="shared" si="20"/>
        <v>#NUM!</v>
      </c>
      <c r="AV64" s="17">
        <f t="shared" si="21"/>
        <v>0</v>
      </c>
      <c r="AW64" s="17" t="e">
        <f t="shared" si="22"/>
        <v>#NUM!</v>
      </c>
      <c r="AX64" s="17" t="e">
        <f t="shared" si="23"/>
        <v>#NUM!</v>
      </c>
      <c r="AZ64" s="17">
        <f t="shared" si="24"/>
        <v>0</v>
      </c>
      <c r="BA64" s="17" t="e">
        <f t="shared" si="25"/>
        <v>#NUM!</v>
      </c>
      <c r="BB64" s="17" t="e">
        <f t="shared" si="26"/>
        <v>#NUM!</v>
      </c>
      <c r="BD64" s="17">
        <f t="shared" si="27"/>
        <v>0</v>
      </c>
      <c r="BE64" s="17">
        <f t="shared" si="28"/>
        <v>0</v>
      </c>
      <c r="BF64" s="17">
        <f t="shared" si="29"/>
        <v>0</v>
      </c>
      <c r="BG64" s="17">
        <f t="shared" si="30"/>
        <v>0</v>
      </c>
      <c r="BI64" s="17" t="e">
        <f t="shared" si="31"/>
        <v>#DIV/0!</v>
      </c>
      <c r="BJ64" s="17" t="e">
        <f t="shared" si="32"/>
        <v>#DIV/0!</v>
      </c>
      <c r="BK64" s="17">
        <f t="shared" ca="1" si="119"/>
        <v>0</v>
      </c>
      <c r="BL64" s="17">
        <f t="shared" si="150"/>
        <v>795010</v>
      </c>
      <c r="BM64" s="17">
        <f t="shared" si="151"/>
        <v>0</v>
      </c>
      <c r="BN64" s="17">
        <f t="shared" si="152"/>
        <v>0</v>
      </c>
      <c r="BO64" s="17">
        <f t="shared" si="153"/>
        <v>0</v>
      </c>
      <c r="BP64" s="18">
        <f t="shared" si="38"/>
        <v>0</v>
      </c>
      <c r="BQ64" s="18">
        <f t="shared" si="39"/>
        <v>0</v>
      </c>
      <c r="BR64" s="18">
        <f t="shared" si="40"/>
        <v>0</v>
      </c>
      <c r="BS64" s="18">
        <f t="shared" ref="BS64:BU64" si="180">+(1-BP64)</f>
        <v>1</v>
      </c>
      <c r="BT64" s="18">
        <f t="shared" si="180"/>
        <v>1</v>
      </c>
      <c r="BU64" s="18">
        <f t="shared" si="180"/>
        <v>1</v>
      </c>
      <c r="BV64" s="20" t="e">
        <f t="shared" ref="BV64:BX64" si="181">ROUND(1/BP64,2)</f>
        <v>#DIV/0!</v>
      </c>
      <c r="BW64" s="20" t="e">
        <f t="shared" si="181"/>
        <v>#DIV/0!</v>
      </c>
      <c r="BX64" s="20" t="e">
        <f t="shared" si="181"/>
        <v>#DIV/0!</v>
      </c>
      <c r="BY64" s="15">
        <f t="shared" si="122"/>
        <v>0</v>
      </c>
    </row>
    <row r="65" spans="2:77">
      <c r="B65" s="151">
        <f>+Carga!K65</f>
        <v>0</v>
      </c>
      <c r="C65" s="152">
        <f>+'Calculadora VDFA'!$M$6</f>
        <v>0.61</v>
      </c>
      <c r="E65" s="6">
        <f>Carga!L65</f>
        <v>0</v>
      </c>
      <c r="F65" s="6">
        <f t="shared" si="123"/>
        <v>0</v>
      </c>
      <c r="G65" s="11">
        <f>+MAX(Carga!$D$8,MIN(Carga!$F$8,Carga!$E$8+$C65))</f>
        <v>0.61</v>
      </c>
      <c r="H65" s="6">
        <f>F65*G65*Carga!P65/360</f>
        <v>0</v>
      </c>
      <c r="I65" s="154">
        <f t="shared" si="45"/>
        <v>-2.5320332497358322E-9</v>
      </c>
      <c r="J65" s="6">
        <f t="shared" si="46"/>
        <v>0</v>
      </c>
      <c r="K65" s="6">
        <f t="shared" si="47"/>
        <v>0</v>
      </c>
      <c r="L65" s="6">
        <f t="shared" si="0"/>
        <v>0</v>
      </c>
      <c r="N65" s="6">
        <f t="shared" si="1"/>
        <v>0</v>
      </c>
      <c r="O65" s="6">
        <f t="shared" si="48"/>
        <v>0</v>
      </c>
      <c r="P65" s="11">
        <f>+MAX(Carga!$D$9,MIN(Carga!$F$9,Carga!$E$9+$C65))</f>
        <v>0.63</v>
      </c>
      <c r="Q65" s="6">
        <f>+O65*P65*Carga!P65/360</f>
        <v>0</v>
      </c>
      <c r="R65" s="6">
        <f t="shared" si="49"/>
        <v>0</v>
      </c>
      <c r="S65" s="6">
        <f t="shared" si="117"/>
        <v>0</v>
      </c>
      <c r="T65" s="6">
        <f t="shared" si="61"/>
        <v>0</v>
      </c>
      <c r="U65" s="6">
        <f t="shared" si="4"/>
        <v>0</v>
      </c>
      <c r="W65" s="6">
        <f t="shared" si="5"/>
        <v>0</v>
      </c>
      <c r="X65" s="6">
        <f t="shared" si="50"/>
        <v>0</v>
      </c>
      <c r="Y65" s="11">
        <f>+MAX(Carga!$D$10,MIN(Carga!$F$10,Carga!$E$10+$C65))</f>
        <v>0.61</v>
      </c>
      <c r="Z65" s="6">
        <f t="shared" si="51"/>
        <v>0</v>
      </c>
      <c r="AA65" s="6">
        <f t="shared" si="6"/>
        <v>0</v>
      </c>
      <c r="AB65" s="6">
        <f t="shared" si="7"/>
        <v>0</v>
      </c>
      <c r="AC65" s="6">
        <f t="shared" si="8"/>
        <v>0</v>
      </c>
      <c r="AE65" s="6">
        <f t="shared" si="9"/>
        <v>0</v>
      </c>
      <c r="AF65" s="6">
        <f t="shared" si="52"/>
        <v>100</v>
      </c>
      <c r="AG65" s="11" t="b">
        <f>IF(MAX(AE$65:AE86)&gt;0,FALSE,TRUE)</f>
        <v>0</v>
      </c>
      <c r="AH65" s="6">
        <f t="shared" si="11"/>
        <v>0</v>
      </c>
      <c r="AI65" s="6">
        <f t="shared" si="12"/>
        <v>0</v>
      </c>
      <c r="AJ65" s="6">
        <f t="shared" si="13"/>
        <v>0</v>
      </c>
      <c r="AL65" s="6">
        <f t="shared" si="118"/>
        <v>-44789</v>
      </c>
      <c r="AN65" s="6">
        <f t="shared" si="15"/>
        <v>0</v>
      </c>
      <c r="AO65" s="6" t="e">
        <f t="shared" si="16"/>
        <v>#NUM!</v>
      </c>
      <c r="AP65" s="6" t="e">
        <f t="shared" si="17"/>
        <v>#NUM!</v>
      </c>
      <c r="AR65" s="6">
        <f t="shared" si="18"/>
        <v>0</v>
      </c>
      <c r="AS65" s="6" t="e">
        <f t="shared" si="19"/>
        <v>#NUM!</v>
      </c>
      <c r="AT65" s="6" t="e">
        <f t="shared" si="20"/>
        <v>#NUM!</v>
      </c>
      <c r="AV65" s="6">
        <f t="shared" si="21"/>
        <v>0</v>
      </c>
      <c r="AW65" s="6" t="e">
        <f t="shared" si="22"/>
        <v>#NUM!</v>
      </c>
      <c r="AX65" s="6" t="e">
        <f t="shared" si="23"/>
        <v>#NUM!</v>
      </c>
      <c r="AZ65" s="6">
        <f t="shared" si="24"/>
        <v>0</v>
      </c>
      <c r="BA65" s="6" t="e">
        <f t="shared" si="25"/>
        <v>#NUM!</v>
      </c>
      <c r="BB65" s="6" t="e">
        <f t="shared" si="26"/>
        <v>#NUM!</v>
      </c>
      <c r="BD65" s="6">
        <f t="shared" si="27"/>
        <v>0</v>
      </c>
      <c r="BE65" s="6">
        <f t="shared" si="28"/>
        <v>0</v>
      </c>
      <c r="BF65" s="6">
        <f t="shared" si="29"/>
        <v>0</v>
      </c>
      <c r="BG65" s="6">
        <f t="shared" si="30"/>
        <v>0</v>
      </c>
      <c r="BI65" s="6" t="e">
        <f t="shared" si="31"/>
        <v>#DIV/0!</v>
      </c>
      <c r="BJ65" s="6" t="e">
        <f t="shared" si="32"/>
        <v>#DIV/0!</v>
      </c>
      <c r="BK65" s="6">
        <f t="shared" ca="1" si="119"/>
        <v>0</v>
      </c>
      <c r="BL65" s="6">
        <f t="shared" si="150"/>
        <v>795010</v>
      </c>
      <c r="BM65" s="6">
        <f t="shared" si="151"/>
        <v>0</v>
      </c>
      <c r="BN65" s="6">
        <f t="shared" si="152"/>
        <v>0</v>
      </c>
      <c r="BO65" s="6">
        <f t="shared" si="153"/>
        <v>0</v>
      </c>
      <c r="BP65" s="11">
        <f t="shared" si="38"/>
        <v>0</v>
      </c>
      <c r="BQ65" s="11">
        <f t="shared" si="39"/>
        <v>0</v>
      </c>
      <c r="BR65" s="11">
        <f t="shared" si="40"/>
        <v>0</v>
      </c>
      <c r="BS65" s="11">
        <f t="shared" ref="BS65:BU65" si="182">+(1-BP65)</f>
        <v>1</v>
      </c>
      <c r="BT65" s="11">
        <f t="shared" si="182"/>
        <v>1</v>
      </c>
      <c r="BU65" s="11">
        <f t="shared" si="182"/>
        <v>1</v>
      </c>
      <c r="BV65" s="19" t="e">
        <f t="shared" ref="BV65:BX65" si="183">ROUND(1/BP65,2)</f>
        <v>#DIV/0!</v>
      </c>
      <c r="BW65" s="19" t="e">
        <f t="shared" si="183"/>
        <v>#DIV/0!</v>
      </c>
      <c r="BX65" s="19" t="e">
        <f t="shared" si="183"/>
        <v>#DIV/0!</v>
      </c>
      <c r="BY65" s="7">
        <f t="shared" si="122"/>
        <v>0</v>
      </c>
    </row>
    <row r="66" spans="2:77">
      <c r="B66" s="151">
        <f>+Carga!K66</f>
        <v>0</v>
      </c>
      <c r="C66" s="23"/>
      <c r="E66" s="23">
        <f>SUM(E5:E65)</f>
        <v>483844263</v>
      </c>
      <c r="F66" s="23">
        <f>+F65</f>
        <v>0</v>
      </c>
      <c r="G66" s="22"/>
      <c r="H66" s="23">
        <f t="shared" ref="H66:L66" si="184">SUM(H5:H65)</f>
        <v>88390546.943696767</v>
      </c>
      <c r="I66" s="23"/>
      <c r="J66" s="23">
        <f t="shared" si="184"/>
        <v>257210000</v>
      </c>
      <c r="K66" s="23">
        <f t="shared" si="184"/>
        <v>88390546.943696767</v>
      </c>
      <c r="L66" s="23">
        <f t="shared" si="184"/>
        <v>345600546.94369674</v>
      </c>
      <c r="N66" s="23">
        <f>SUM(N5:N65)</f>
        <v>138243716.05630326</v>
      </c>
      <c r="O66" s="23">
        <f>+O65</f>
        <v>0</v>
      </c>
      <c r="P66" s="22"/>
      <c r="Q66" s="23">
        <f t="shared" ref="Q66:U66" si="185">SUM(Q5:Q65)</f>
        <v>21336505.693095475</v>
      </c>
      <c r="R66" s="23">
        <f t="shared" si="185"/>
        <v>126104698.94369675</v>
      </c>
      <c r="S66" s="23">
        <f t="shared" si="185"/>
        <v>25110000</v>
      </c>
      <c r="T66" s="23">
        <f t="shared" si="185"/>
        <v>21336505.693095475</v>
      </c>
      <c r="U66" s="23">
        <f t="shared" si="185"/>
        <v>46446505.693095475</v>
      </c>
      <c r="W66" s="23">
        <f>SUM(W5:W65)</f>
        <v>91797210.363207772</v>
      </c>
      <c r="X66" s="23">
        <f>+X65</f>
        <v>0</v>
      </c>
      <c r="Y66" s="22"/>
      <c r="Z66" s="23">
        <f t="shared" ref="Z66:AC66" si="186">SUM(Z5:Z65)</f>
        <v>0</v>
      </c>
      <c r="AA66" s="23">
        <f t="shared" si="186"/>
        <v>0</v>
      </c>
      <c r="AB66" s="23">
        <f t="shared" si="186"/>
        <v>0</v>
      </c>
      <c r="AC66" s="23">
        <f t="shared" si="186"/>
        <v>0</v>
      </c>
      <c r="AE66" s="23">
        <f>SUM(AE5:AE65)</f>
        <v>91797210.363207772</v>
      </c>
      <c r="AF66" s="23">
        <f>+AF65</f>
        <v>100</v>
      </c>
      <c r="AG66" s="22"/>
      <c r="AH66" s="23">
        <f t="shared" ref="AH66:AJ66" si="187">SUM(AH5:AH65)</f>
        <v>-100</v>
      </c>
      <c r="AI66" s="23">
        <f t="shared" si="187"/>
        <v>91797310.363207772</v>
      </c>
      <c r="AJ66" s="23">
        <f t="shared" si="187"/>
        <v>91797210.363207772</v>
      </c>
      <c r="AL66" s="23"/>
      <c r="AN66" s="24" t="e">
        <f>XIRR(AN4:AN65,$B$4:$B$65)</f>
        <v>#NUM!</v>
      </c>
      <c r="AO66" s="23" t="e">
        <f t="shared" ref="AO66:AP66" si="188">SUM(AO5:AO65)</f>
        <v>#NUM!</v>
      </c>
      <c r="AP66" s="23" t="e">
        <f t="shared" si="188"/>
        <v>#NUM!</v>
      </c>
      <c r="AR66" s="24" t="e">
        <f>XIRR(AR4:AR65,$B$4:$B$65)</f>
        <v>#NUM!</v>
      </c>
      <c r="AS66" s="23" t="e">
        <f t="shared" ref="AS66:AT66" si="189">SUM(AS5:AS65)</f>
        <v>#NUM!</v>
      </c>
      <c r="AT66" s="23" t="e">
        <f t="shared" si="189"/>
        <v>#NUM!</v>
      </c>
      <c r="AV66" s="24" t="e">
        <f>XIRR(AV4:AV65,$B$4:$B$65)</f>
        <v>#NUM!</v>
      </c>
      <c r="AW66" s="23" t="e">
        <f t="shared" ref="AW66:AX66" si="190">SUM(AW5:AW65)</f>
        <v>#NUM!</v>
      </c>
      <c r="AX66" s="23" t="e">
        <f t="shared" si="190"/>
        <v>#NUM!</v>
      </c>
      <c r="AZ66" s="24" t="e">
        <f>XIRR(AZ4:AZ65,$B$4:$B$65)</f>
        <v>#NUM!</v>
      </c>
      <c r="BA66" s="23" t="e">
        <f t="shared" ref="BA66:BB66" si="191">SUM(BA5:BA65)</f>
        <v>#NUM!</v>
      </c>
      <c r="BB66" s="23" t="e">
        <f t="shared" si="191"/>
        <v>#NUM!</v>
      </c>
      <c r="BD66" s="25" t="e">
        <f>XNPV(Carga!G8,BD4:BD65,$B$4:$B$65)/F5</f>
        <v>#NUM!</v>
      </c>
      <c r="BE66" s="25" t="e">
        <f>XNPV(Carga!G9,BE4:BE65,$B$4:$B$65)/O5</f>
        <v>#NUM!</v>
      </c>
      <c r="BF66" s="25" t="e">
        <f>XNPV(Carga!G10,BF4:BF65,$B$4:$B$65)/X5</f>
        <v>#NUM!</v>
      </c>
      <c r="BG66" s="22" t="e">
        <f>XNPV(Carga!G11,BG4:BG65,$B$4:$B$65)/AF5</f>
        <v>#NUM!</v>
      </c>
    </row>
    <row r="67" spans="2:77">
      <c r="B67" s="26"/>
      <c r="C67" s="27"/>
      <c r="E67" s="27"/>
      <c r="F67" s="27"/>
      <c r="G67" s="27"/>
      <c r="H67" s="27"/>
      <c r="I67" s="27"/>
      <c r="J67" s="27">
        <f>J66-F5</f>
        <v>0</v>
      </c>
      <c r="K67" s="27">
        <f>K66-H66</f>
        <v>0</v>
      </c>
      <c r="L67" s="27">
        <f>L66-H66-F5</f>
        <v>0</v>
      </c>
      <c r="N67" s="27"/>
      <c r="O67" s="27"/>
      <c r="P67" s="27"/>
      <c r="Q67" s="27"/>
      <c r="R67" s="27"/>
      <c r="S67" s="27">
        <f>S66-O5</f>
        <v>0</v>
      </c>
      <c r="T67" s="27">
        <f>T66-Q66</f>
        <v>0</v>
      </c>
      <c r="U67" s="27">
        <f>U66-Q66-O5</f>
        <v>0</v>
      </c>
      <c r="W67" s="27"/>
      <c r="X67" s="27"/>
      <c r="Y67" s="27"/>
      <c r="Z67" s="27"/>
      <c r="AA67" s="27">
        <f>AA66-X5</f>
        <v>0</v>
      </c>
      <c r="AB67" s="27">
        <f>AB66-Z66</f>
        <v>0</v>
      </c>
      <c r="AC67" s="27">
        <f>AC66-Z66-X5</f>
        <v>0</v>
      </c>
      <c r="AE67" s="27"/>
      <c r="AF67" s="27"/>
      <c r="AG67" s="27"/>
      <c r="AH67" s="27">
        <f>AH66-AF5</f>
        <v>-100</v>
      </c>
      <c r="AI67" s="27">
        <f>E66-L66-U66-AC66-AH66-AI66</f>
        <v>0</v>
      </c>
      <c r="AJ67" s="27">
        <f>E66-L66-U66-AC66-AJ66</f>
        <v>0</v>
      </c>
      <c r="AL67" s="27"/>
      <c r="AN67" s="27"/>
      <c r="AO67" s="28" t="s">
        <v>18</v>
      </c>
      <c r="AP67" s="28" t="e">
        <f>+AP66/30</f>
        <v>#NUM!</v>
      </c>
      <c r="AR67" s="27"/>
      <c r="AS67" s="28" t="s">
        <v>18</v>
      </c>
      <c r="AT67" s="28" t="e">
        <f>+AT66/30</f>
        <v>#NUM!</v>
      </c>
      <c r="AV67" s="27"/>
      <c r="AW67" s="28" t="s">
        <v>18</v>
      </c>
      <c r="AX67" s="28" t="e">
        <f>+AX66/30</f>
        <v>#NUM!</v>
      </c>
      <c r="AZ67" s="27"/>
      <c r="BA67" s="27" t="e">
        <f>BA66-AF5</f>
        <v>#NUM!</v>
      </c>
      <c r="BB67" s="28" t="e">
        <f>+BB66/30</f>
        <v>#NUM!</v>
      </c>
      <c r="BD67" s="29"/>
      <c r="BE67" s="29"/>
    </row>
    <row r="68" spans="2:77">
      <c r="AO68" s="28" t="s">
        <v>46</v>
      </c>
      <c r="AP68" s="28" t="e">
        <f>+AP67/((1+AN66)^(1/12))</f>
        <v>#NUM!</v>
      </c>
      <c r="AS68" s="28" t="s">
        <v>46</v>
      </c>
      <c r="AT68" s="28" t="e">
        <f>+AT67/((1+AR66)^(1/12))</f>
        <v>#NUM!</v>
      </c>
      <c r="AW68" s="28" t="s">
        <v>46</v>
      </c>
      <c r="AX68" s="28" t="e">
        <f>+AX67/((1+AV66)^(1/12))</f>
        <v>#NUM!</v>
      </c>
      <c r="BD68" s="30"/>
      <c r="BE68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AF501"/>
  <sheetViews>
    <sheetView showGridLines="0" tabSelected="1" topLeftCell="H1" zoomScale="70" zoomScaleNormal="70" workbookViewId="0">
      <selection activeCell="M6" sqref="M6"/>
    </sheetView>
  </sheetViews>
  <sheetFormatPr baseColWidth="10" defaultColWidth="17.28515625" defaultRowHeight="15" customHeight="1" outlineLevelRow="1" outlineLevelCol="1"/>
  <cols>
    <col min="1" max="1" width="19.7109375" style="32" hidden="1" customWidth="1" outlineLevel="1"/>
    <col min="2" max="4" width="16.28515625" style="32" hidden="1" customWidth="1" outlineLevel="1"/>
    <col min="5" max="5" width="24.5703125" style="32" hidden="1" customWidth="1" outlineLevel="1"/>
    <col min="6" max="6" width="17.85546875" style="32" hidden="1" customWidth="1" outlineLevel="1"/>
    <col min="7" max="7" width="19.85546875" style="32" hidden="1" customWidth="1" outlineLevel="1"/>
    <col min="8" max="8" width="3" style="32" customWidth="1" collapsed="1"/>
    <col min="9" max="9" width="23.42578125" style="32" customWidth="1"/>
    <col min="10" max="10" width="15" style="32" customWidth="1"/>
    <col min="11" max="11" width="24.42578125" style="32" customWidth="1"/>
    <col min="12" max="12" width="28.140625" style="32" bestFit="1" customWidth="1"/>
    <col min="13" max="13" width="19.7109375" style="32" bestFit="1" customWidth="1"/>
    <col min="14" max="14" width="20.140625" style="32" customWidth="1"/>
    <col min="15" max="15" width="3" style="32" hidden="1" customWidth="1"/>
    <col min="16" max="16" width="17.85546875" style="32" hidden="1" customWidth="1"/>
    <col min="17" max="17" width="20.5703125" style="32" hidden="1" customWidth="1"/>
    <col min="18" max="18" width="17.85546875" style="32" hidden="1" customWidth="1"/>
    <col min="19" max="19" width="3" style="32" hidden="1" customWidth="1" collapsed="1"/>
    <col min="20" max="20" width="14.140625" style="32" hidden="1" customWidth="1"/>
    <col min="21" max="21" width="15.7109375" style="32" hidden="1" customWidth="1"/>
    <col min="22" max="22" width="16.7109375" style="32" hidden="1" customWidth="1"/>
    <col min="23" max="24" width="16.42578125" style="32" hidden="1" customWidth="1"/>
    <col min="25" max="25" width="19.7109375" style="32" hidden="1" customWidth="1"/>
    <col min="26" max="26" width="18.28515625" style="32" hidden="1" customWidth="1"/>
    <col min="27" max="28" width="19.7109375" style="32" hidden="1" customWidth="1"/>
    <col min="29" max="30" width="9" style="32" hidden="1" customWidth="1"/>
    <col min="31" max="32" width="9" style="32" customWidth="1"/>
    <col min="33" max="16384" width="17.28515625" style="32"/>
  </cols>
  <sheetData>
    <row r="1" spans="1:32" ht="16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3"/>
      <c r="O2" s="34"/>
      <c r="P2" s="35"/>
      <c r="Q2" s="35"/>
      <c r="R2" s="36"/>
      <c r="S2" s="36"/>
      <c r="T2" s="35"/>
      <c r="U2" s="37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6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5"/>
      <c r="R3" s="36"/>
      <c r="S3" s="31"/>
      <c r="T3" s="38"/>
      <c r="U3" s="39"/>
      <c r="V3" s="40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33" customHeight="1">
      <c r="A4" s="31"/>
      <c r="B4" s="31"/>
      <c r="C4" s="31"/>
      <c r="D4" s="31"/>
      <c r="E4" s="31"/>
      <c r="F4" s="31"/>
      <c r="G4" s="31"/>
      <c r="H4" s="31"/>
      <c r="I4" s="156" t="s">
        <v>89</v>
      </c>
      <c r="J4" s="123"/>
      <c r="K4" s="123"/>
      <c r="L4" s="122"/>
      <c r="M4" s="122"/>
      <c r="N4" s="124"/>
      <c r="O4" s="31"/>
      <c r="P4" s="31"/>
      <c r="Q4" s="35"/>
      <c r="R4" s="36"/>
      <c r="S4" s="31"/>
      <c r="T4" s="3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16.5" customHeight="1">
      <c r="A5" s="31"/>
      <c r="B5" s="31"/>
      <c r="C5" s="31"/>
      <c r="D5" s="31"/>
      <c r="E5" s="31"/>
      <c r="F5" s="41" t="s">
        <v>47</v>
      </c>
      <c r="G5" s="42">
        <f>+Carga!C8</f>
        <v>257210000</v>
      </c>
      <c r="H5" s="31"/>
      <c r="I5" s="31"/>
      <c r="J5" s="31"/>
      <c r="K5" s="31"/>
      <c r="L5" s="31"/>
      <c r="M5" s="31"/>
      <c r="N5" s="31"/>
      <c r="O5" s="31"/>
      <c r="P5" s="43" t="s">
        <v>48</v>
      </c>
      <c r="Q5" s="44">
        <f>+J11</f>
        <v>44789</v>
      </c>
      <c r="R5" s="36"/>
      <c r="S5" s="31"/>
      <c r="T5" s="3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ht="16.5" customHeight="1">
      <c r="A6" s="31"/>
      <c r="B6" s="31"/>
      <c r="C6" s="31"/>
      <c r="D6" s="31"/>
      <c r="E6" s="31"/>
      <c r="F6" s="31"/>
      <c r="G6" s="31"/>
      <c r="H6" s="31"/>
      <c r="I6" s="41" t="s">
        <v>49</v>
      </c>
      <c r="J6" s="42" t="str">
        <f>+Carga!H8</f>
        <v>AAAsf(arg)</v>
      </c>
      <c r="K6" s="31"/>
      <c r="L6" s="45" t="s">
        <v>50</v>
      </c>
      <c r="M6" s="117">
        <v>0.61</v>
      </c>
      <c r="N6" s="31"/>
      <c r="O6" s="31"/>
      <c r="P6" s="46"/>
      <c r="Q6" s="46"/>
      <c r="R6" s="46"/>
      <c r="S6" s="31"/>
      <c r="T6" s="38"/>
      <c r="U6" s="31"/>
      <c r="V6" s="31"/>
      <c r="W6" s="47"/>
      <c r="X6" s="47"/>
      <c r="Y6" s="47"/>
      <c r="Z6" s="48"/>
      <c r="AA6" s="48"/>
      <c r="AB6" s="49"/>
      <c r="AC6" s="31"/>
      <c r="AD6" s="31"/>
      <c r="AE6" s="31"/>
      <c r="AF6" s="31"/>
    </row>
    <row r="7" spans="1:32" ht="16.5" customHeight="1">
      <c r="A7" s="31"/>
      <c r="B7" s="31"/>
      <c r="C7" s="31"/>
      <c r="D7" s="31"/>
      <c r="E7" s="31"/>
      <c r="F7" s="31"/>
      <c r="G7" s="31"/>
      <c r="H7" s="31"/>
      <c r="I7" s="41" t="s">
        <v>9</v>
      </c>
      <c r="J7" s="50">
        <f>+Carga!D8</f>
        <v>0.51</v>
      </c>
      <c r="K7" s="31"/>
      <c r="L7" s="45" t="s">
        <v>51</v>
      </c>
      <c r="M7" s="117">
        <v>0.80649999999999999</v>
      </c>
      <c r="N7" s="51" t="s">
        <v>52</v>
      </c>
      <c r="O7" s="52"/>
      <c r="P7" s="31"/>
      <c r="Q7" s="53"/>
      <c r="R7" s="36"/>
      <c r="S7" s="31"/>
      <c r="T7" s="31"/>
      <c r="U7" s="37"/>
      <c r="V7" s="31"/>
      <c r="W7" s="47"/>
      <c r="X7" s="47"/>
      <c r="Y7" s="47"/>
      <c r="Z7" s="48"/>
      <c r="AA7" s="48"/>
      <c r="AB7" s="49"/>
      <c r="AC7" s="31"/>
      <c r="AD7" s="31"/>
      <c r="AE7" s="31"/>
      <c r="AF7" s="31"/>
    </row>
    <row r="8" spans="1:32" ht="16.5" customHeight="1">
      <c r="A8" s="31"/>
      <c r="B8" s="31"/>
      <c r="C8" s="31"/>
      <c r="D8" s="31"/>
      <c r="E8" s="31"/>
      <c r="F8" s="31"/>
      <c r="G8" s="31"/>
      <c r="H8" s="31"/>
      <c r="I8" s="41" t="s">
        <v>11</v>
      </c>
      <c r="J8" s="50">
        <f>+Carga!F8</f>
        <v>0.61</v>
      </c>
      <c r="K8" s="31"/>
      <c r="L8" s="54" t="s">
        <v>53</v>
      </c>
      <c r="M8" s="55">
        <f>(((1+M7)^(30/365))-1)*365/30</f>
        <v>0.60600003436415006</v>
      </c>
      <c r="N8" s="51" t="s">
        <v>52</v>
      </c>
      <c r="O8" s="56"/>
      <c r="P8" s="31"/>
      <c r="Q8" s="53"/>
      <c r="R8" s="36"/>
      <c r="S8" s="31"/>
      <c r="T8" s="31"/>
      <c r="U8" s="31"/>
      <c r="V8" s="57"/>
      <c r="W8" s="47"/>
      <c r="X8" s="47"/>
      <c r="Y8" s="47"/>
      <c r="Z8" s="48"/>
      <c r="AA8" s="48"/>
      <c r="AB8" s="49"/>
      <c r="AC8" s="31"/>
      <c r="AD8" s="31"/>
      <c r="AE8" s="31"/>
      <c r="AF8" s="31"/>
    </row>
    <row r="9" spans="1:32" ht="16.5" customHeight="1">
      <c r="A9" s="31"/>
      <c r="B9" s="31"/>
      <c r="C9" s="31"/>
      <c r="D9" s="31"/>
      <c r="E9" s="31"/>
      <c r="F9" s="31"/>
      <c r="G9" s="31"/>
      <c r="H9" s="31"/>
      <c r="I9" s="54" t="s">
        <v>10</v>
      </c>
      <c r="J9" s="58">
        <f>+Carga!E8*10000</f>
        <v>100</v>
      </c>
      <c r="K9" s="31"/>
      <c r="L9" s="59" t="s">
        <v>54</v>
      </c>
      <c r="M9" s="60">
        <f>(XNPV(M7,AA17:AA30,W17:W30)/AB17)*100</f>
        <v>95.255182474663073</v>
      </c>
      <c r="N9" s="31"/>
      <c r="O9" s="31"/>
      <c r="P9" s="61" t="s">
        <v>55</v>
      </c>
      <c r="Q9" s="62">
        <f>+Q54</f>
        <v>255744110.36786658</v>
      </c>
      <c r="R9" s="63"/>
      <c r="S9" s="64"/>
      <c r="T9" s="65"/>
      <c r="U9" s="31"/>
      <c r="V9" s="66"/>
      <c r="W9" s="47"/>
      <c r="X9" s="47"/>
      <c r="Y9" s="47"/>
      <c r="Z9" s="48"/>
      <c r="AA9" s="48"/>
      <c r="AB9" s="49"/>
      <c r="AC9" s="31"/>
      <c r="AD9" s="31"/>
      <c r="AE9" s="31"/>
      <c r="AF9" s="31"/>
    </row>
    <row r="10" spans="1:32" ht="16.5" customHeight="1">
      <c r="A10" s="31"/>
      <c r="B10" s="31"/>
      <c r="C10" s="31"/>
      <c r="D10" s="31"/>
      <c r="E10" s="31"/>
      <c r="F10" s="41" t="s">
        <v>6</v>
      </c>
      <c r="G10" s="67">
        <f>+Carga!F5</f>
        <v>44773</v>
      </c>
      <c r="H10" s="31"/>
      <c r="I10" s="31"/>
      <c r="J10" s="31"/>
      <c r="K10" s="31"/>
      <c r="L10" s="31"/>
      <c r="M10" s="31"/>
      <c r="N10" s="31"/>
      <c r="O10" s="31"/>
      <c r="P10" s="68"/>
      <c r="Q10" s="69"/>
      <c r="R10" s="36"/>
      <c r="S10" s="31"/>
      <c r="T10" s="31"/>
      <c r="U10" s="70"/>
      <c r="V10" s="66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6.5" customHeight="1">
      <c r="A11" s="31"/>
      <c r="B11" s="31"/>
      <c r="C11" s="31"/>
      <c r="D11" s="31"/>
      <c r="E11" s="31"/>
      <c r="F11" s="31"/>
      <c r="G11" s="31"/>
      <c r="H11" s="31"/>
      <c r="I11" s="41" t="s">
        <v>56</v>
      </c>
      <c r="J11" s="71">
        <f>+'Flujos de fondo MIN'!B4</f>
        <v>44789</v>
      </c>
      <c r="K11" s="31"/>
      <c r="L11" s="54" t="s">
        <v>57</v>
      </c>
      <c r="M11" s="72">
        <f>XIRR(M17:M53,I17:I53)</f>
        <v>0.97525416612625127</v>
      </c>
      <c r="N11" s="51" t="s">
        <v>58</v>
      </c>
      <c r="O11" s="31"/>
      <c r="P11" s="31"/>
      <c r="Q11" s="69"/>
      <c r="R11" s="73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16.5" customHeight="1">
      <c r="A12" s="31"/>
      <c r="B12" s="31"/>
      <c r="C12" s="31"/>
      <c r="D12" s="31"/>
      <c r="E12" s="31"/>
      <c r="F12" s="31"/>
      <c r="G12" s="31"/>
      <c r="H12" s="31"/>
      <c r="I12" s="41" t="s">
        <v>59</v>
      </c>
      <c r="J12" s="74">
        <f>+R56</f>
        <v>5.8888805865682503</v>
      </c>
      <c r="K12" s="31"/>
      <c r="L12" s="54" t="s">
        <v>75</v>
      </c>
      <c r="M12" s="72">
        <f>(((1+M11)^(30/365))-1)*365/30</f>
        <v>0.7000989382231928</v>
      </c>
      <c r="N12" s="51" t="s">
        <v>58</v>
      </c>
      <c r="O12" s="31"/>
      <c r="P12" s="39"/>
      <c r="Q12" s="35"/>
      <c r="R12" s="36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ht="16.5" customHeight="1">
      <c r="A13" s="75"/>
      <c r="B13" s="75"/>
      <c r="C13" s="31"/>
      <c r="D13" s="75"/>
      <c r="E13" s="76"/>
      <c r="F13" s="76"/>
      <c r="G13" s="75"/>
      <c r="H13" s="75"/>
      <c r="I13" s="75"/>
      <c r="J13" s="75"/>
      <c r="K13" s="75"/>
      <c r="L13" s="77" t="s">
        <v>60</v>
      </c>
      <c r="M13" s="78">
        <f>(M12-M6)*10000</f>
        <v>900.98938223192818</v>
      </c>
      <c r="N13" s="75"/>
      <c r="O13" s="75"/>
      <c r="P13" s="75"/>
      <c r="Q13" s="79"/>
      <c r="R13" s="75"/>
      <c r="S13" s="80"/>
      <c r="T13" s="75"/>
      <c r="U13" s="31"/>
      <c r="V13" s="75"/>
      <c r="W13" s="81" t="s">
        <v>61</v>
      </c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17.25" customHeight="1" thickBot="1">
      <c r="A14" s="75"/>
      <c r="B14" s="75"/>
      <c r="C14" s="75"/>
      <c r="D14" s="82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31"/>
      <c r="T14" s="31"/>
      <c r="U14" s="31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ht="15.75" thickBot="1">
      <c r="A15" s="179" t="s">
        <v>62</v>
      </c>
      <c r="B15" s="181" t="s">
        <v>63</v>
      </c>
      <c r="C15" s="182"/>
      <c r="D15" s="182"/>
      <c r="E15" s="182"/>
      <c r="F15" s="182"/>
      <c r="G15" s="183"/>
      <c r="H15" s="83"/>
      <c r="I15" s="173" t="s">
        <v>13</v>
      </c>
      <c r="J15" s="174"/>
      <c r="K15" s="174"/>
      <c r="L15" s="174"/>
      <c r="M15" s="174"/>
      <c r="N15" s="175"/>
      <c r="O15" s="75"/>
      <c r="P15" s="84"/>
      <c r="Q15" s="75"/>
      <c r="R15" s="75"/>
      <c r="S15" s="75"/>
      <c r="T15" s="75"/>
      <c r="U15" s="31"/>
      <c r="V15" s="75"/>
      <c r="W15" s="173" t="s">
        <v>13</v>
      </c>
      <c r="X15" s="174"/>
      <c r="Y15" s="174"/>
      <c r="Z15" s="174"/>
      <c r="AA15" s="174"/>
      <c r="AB15" s="175"/>
      <c r="AC15" s="75"/>
      <c r="AD15" s="75"/>
      <c r="AE15" s="75"/>
      <c r="AF15" s="75"/>
    </row>
    <row r="16" spans="1:32" ht="15.75" thickBot="1">
      <c r="A16" s="180"/>
      <c r="B16" s="85" t="s">
        <v>64</v>
      </c>
      <c r="C16" s="83" t="s">
        <v>65</v>
      </c>
      <c r="D16" s="184" t="s">
        <v>66</v>
      </c>
      <c r="E16" s="186" t="s">
        <v>67</v>
      </c>
      <c r="F16" s="188" t="s">
        <v>68</v>
      </c>
      <c r="G16" s="86" t="s">
        <v>69</v>
      </c>
      <c r="H16" s="83"/>
      <c r="I16" s="87" t="s">
        <v>24</v>
      </c>
      <c r="J16" s="87" t="s">
        <v>70</v>
      </c>
      <c r="K16" s="87" t="s">
        <v>71</v>
      </c>
      <c r="L16" s="87" t="s">
        <v>72</v>
      </c>
      <c r="M16" s="87" t="s">
        <v>45</v>
      </c>
      <c r="N16" s="87" t="s">
        <v>73</v>
      </c>
      <c r="O16" s="75"/>
      <c r="P16" s="88" t="s">
        <v>32</v>
      </c>
      <c r="Q16" s="89" t="s">
        <v>34</v>
      </c>
      <c r="R16" s="89" t="s">
        <v>18</v>
      </c>
      <c r="S16" s="75"/>
      <c r="T16" s="75"/>
      <c r="U16" s="89"/>
      <c r="V16" s="75"/>
      <c r="W16" s="87" t="s">
        <v>24</v>
      </c>
      <c r="X16" s="87" t="s">
        <v>70</v>
      </c>
      <c r="Y16" s="87" t="s">
        <v>71</v>
      </c>
      <c r="Z16" s="143" t="s">
        <v>72</v>
      </c>
      <c r="AA16" s="87" t="s">
        <v>45</v>
      </c>
      <c r="AB16" s="87" t="s">
        <v>73</v>
      </c>
      <c r="AC16" s="75"/>
      <c r="AD16" s="75"/>
      <c r="AE16" s="75"/>
      <c r="AF16" s="75"/>
    </row>
    <row r="17" spans="1:32">
      <c r="A17" s="90"/>
      <c r="B17" s="91">
        <v>44412</v>
      </c>
      <c r="C17" s="92"/>
      <c r="D17" s="185"/>
      <c r="E17" s="187"/>
      <c r="F17" s="178"/>
      <c r="G17" s="93">
        <v>0</v>
      </c>
      <c r="H17" s="94"/>
      <c r="I17" s="120">
        <f>+Q5</f>
        <v>44789</v>
      </c>
      <c r="J17" s="95"/>
      <c r="K17" s="96"/>
      <c r="L17" s="96"/>
      <c r="M17" s="97">
        <f>-N17*M9/100</f>
        <v>-245005854.84308091</v>
      </c>
      <c r="N17" s="98">
        <f>+G5</f>
        <v>257210000</v>
      </c>
      <c r="O17" s="75"/>
      <c r="P17" s="99">
        <f t="shared" ref="P17:P53" si="0">+I17-$Q$5</f>
        <v>0</v>
      </c>
      <c r="Q17" s="80"/>
      <c r="R17" s="80">
        <f t="shared" ref="R17:R53" si="1">+P17*Q17</f>
        <v>0</v>
      </c>
      <c r="S17" s="75"/>
      <c r="T17" s="75"/>
      <c r="U17" s="94"/>
      <c r="V17" s="75"/>
      <c r="W17" s="120">
        <v>44789</v>
      </c>
      <c r="X17" s="95"/>
      <c r="Y17" s="142"/>
      <c r="Z17" s="144"/>
      <c r="AA17" s="135">
        <v>0</v>
      </c>
      <c r="AB17" s="98">
        <v>257210000</v>
      </c>
      <c r="AC17" s="75"/>
      <c r="AD17" s="75"/>
      <c r="AE17" s="75"/>
      <c r="AF17" s="75"/>
    </row>
    <row r="18" spans="1:32">
      <c r="A18" s="100">
        <f>+'Flujos de fondo MIN'!E5</f>
        <v>32074900</v>
      </c>
      <c r="B18" s="91">
        <f>+Carga!I5</f>
        <v>44773</v>
      </c>
      <c r="C18" s="101">
        <f>+Carga!P5</f>
        <v>30</v>
      </c>
      <c r="D18" s="102">
        <f>+IF(B18&lt;=$Q$5+C18,Carga!M5,$M$6)</f>
        <v>0.61</v>
      </c>
      <c r="E18" s="82">
        <f>+MAX($J$7,MIN($J$8,$D18+$J$9/10000))</f>
        <v>0.61</v>
      </c>
      <c r="F18" s="94">
        <f>+((E18*N17)/360)*$C18</f>
        <v>13074841.666666666</v>
      </c>
      <c r="G18" s="93">
        <f t="shared" ref="G18:G53" si="2">+G17+F18-L18</f>
        <v>0</v>
      </c>
      <c r="H18" s="94"/>
      <c r="I18" s="121">
        <f>+'Flujos de fondo MIN'!B5</f>
        <v>44824</v>
      </c>
      <c r="J18" s="104">
        <f>+E18</f>
        <v>0.61</v>
      </c>
      <c r="K18" s="105">
        <f>+MAX(MIN(A18-L18,N17),0)</f>
        <v>19000058.333333336</v>
      </c>
      <c r="L18" s="105">
        <f t="shared" ref="L18" si="3">+MIN(F18+G17,A18)</f>
        <v>13074841.666666666</v>
      </c>
      <c r="M18" s="105">
        <f>+L18+K18</f>
        <v>32074900</v>
      </c>
      <c r="N18" s="106">
        <f t="shared" ref="N18:N28" si="4">+N17-K18</f>
        <v>238209941.66666666</v>
      </c>
      <c r="O18" s="75"/>
      <c r="P18" s="99">
        <f t="shared" si="0"/>
        <v>35</v>
      </c>
      <c r="Q18" s="80">
        <f t="shared" ref="Q18:Q53" si="5">+M18/(1+$M$7)^(P18/365)</f>
        <v>30306585.760580242</v>
      </c>
      <c r="R18" s="80">
        <f t="shared" si="1"/>
        <v>1060730501.6203084</v>
      </c>
      <c r="S18" s="75"/>
      <c r="T18" s="80"/>
      <c r="U18" s="94"/>
      <c r="V18" s="75"/>
      <c r="W18" s="121">
        <v>44824</v>
      </c>
      <c r="X18" s="104">
        <v>0.51</v>
      </c>
      <c r="Y18" s="159">
        <v>21143475</v>
      </c>
      <c r="Z18" s="160">
        <v>10931425</v>
      </c>
      <c r="AA18" s="161">
        <v>32074900</v>
      </c>
      <c r="AB18" s="162">
        <v>236066525</v>
      </c>
      <c r="AC18" s="75"/>
      <c r="AD18" s="94"/>
      <c r="AE18" s="94"/>
      <c r="AF18" s="94"/>
    </row>
    <row r="19" spans="1:32">
      <c r="A19" s="100">
        <f>+'Flujos de fondo MIN'!E6</f>
        <v>32225112</v>
      </c>
      <c r="B19" s="91">
        <f>+Carga!I6</f>
        <v>44805</v>
      </c>
      <c r="C19" s="101">
        <f>+Carga!P6</f>
        <v>30</v>
      </c>
      <c r="D19" s="102">
        <f>+IF(B19&lt;=$Q$5+C19,Carga!M6,$M$6)</f>
        <v>0.61</v>
      </c>
      <c r="E19" s="82">
        <f t="shared" ref="E19:E53" si="6">+MAX($J$7,MIN($J$8,$D19+$J$9/10000))</f>
        <v>0.61</v>
      </c>
      <c r="F19" s="94">
        <f t="shared" ref="F19:F53" si="7">+((E19*N18)/360)*$C19</f>
        <v>12109005.368055556</v>
      </c>
      <c r="G19" s="93">
        <f t="shared" si="2"/>
        <v>0</v>
      </c>
      <c r="H19" s="94"/>
      <c r="I19" s="121">
        <f>+'Flujos de fondo MIN'!B6</f>
        <v>44854</v>
      </c>
      <c r="J19" s="104">
        <f t="shared" ref="J19:J53" si="8">+E19</f>
        <v>0.61</v>
      </c>
      <c r="K19" s="105">
        <f t="shared" ref="K19:K26" si="9">+MAX(MIN(A19-L19,N18),0)</f>
        <v>20116106.631944444</v>
      </c>
      <c r="L19" s="105">
        <f>+MIN(F19+G18,A19)</f>
        <v>12109005.368055556</v>
      </c>
      <c r="M19" s="105">
        <f t="shared" ref="M19:M29" si="10">+L19+K19</f>
        <v>32225112</v>
      </c>
      <c r="N19" s="106">
        <f t="shared" si="4"/>
        <v>218093835.03472221</v>
      </c>
      <c r="O19" s="75"/>
      <c r="P19" s="99">
        <f t="shared" si="0"/>
        <v>65</v>
      </c>
      <c r="Q19" s="80">
        <f t="shared" si="5"/>
        <v>29003884.536023721</v>
      </c>
      <c r="R19" s="80">
        <f t="shared" si="1"/>
        <v>1885252494.8415418</v>
      </c>
      <c r="S19" s="75"/>
      <c r="T19" s="80"/>
      <c r="U19" s="94"/>
      <c r="V19" s="75"/>
      <c r="W19" s="121">
        <v>44854</v>
      </c>
      <c r="X19" s="104">
        <v>0.51</v>
      </c>
      <c r="Y19" s="159">
        <v>22192284.6875</v>
      </c>
      <c r="Z19" s="160">
        <v>10032827.3125</v>
      </c>
      <c r="AA19" s="161">
        <v>32225112</v>
      </c>
      <c r="AB19" s="162">
        <v>213874240.3125</v>
      </c>
      <c r="AC19" s="75"/>
      <c r="AD19" s="94"/>
      <c r="AE19" s="94"/>
      <c r="AF19" s="94"/>
    </row>
    <row r="20" spans="1:32">
      <c r="A20" s="100">
        <f>+'Flujos de fondo MIN'!E7</f>
        <v>31618510</v>
      </c>
      <c r="B20" s="91">
        <f>+Carga!I7</f>
        <v>44835</v>
      </c>
      <c r="C20" s="101">
        <f>+Carga!P7</f>
        <v>30</v>
      </c>
      <c r="D20" s="102">
        <f>+IF(B20&lt;=$Q$5+C20,Carga!M7,$M$6)</f>
        <v>0.61</v>
      </c>
      <c r="E20" s="82">
        <f t="shared" si="6"/>
        <v>0.61</v>
      </c>
      <c r="F20" s="94">
        <f t="shared" si="7"/>
        <v>11086436.614265045</v>
      </c>
      <c r="G20" s="93">
        <f t="shared" si="2"/>
        <v>0</v>
      </c>
      <c r="H20" s="94"/>
      <c r="I20" s="121">
        <f>+'Flujos de fondo MIN'!B7</f>
        <v>44886</v>
      </c>
      <c r="J20" s="104">
        <f t="shared" si="8"/>
        <v>0.61</v>
      </c>
      <c r="K20" s="105">
        <f t="shared" si="9"/>
        <v>20532073.385734953</v>
      </c>
      <c r="L20" s="105">
        <f t="shared" ref="L20:L29" si="11">+MIN(F20+G19,A20)</f>
        <v>11086436.614265045</v>
      </c>
      <c r="M20" s="105">
        <f t="shared" si="10"/>
        <v>31618510</v>
      </c>
      <c r="N20" s="106">
        <f t="shared" si="4"/>
        <v>197561761.64898726</v>
      </c>
      <c r="O20" s="75"/>
      <c r="P20" s="99">
        <f t="shared" si="0"/>
        <v>97</v>
      </c>
      <c r="Q20" s="80">
        <f t="shared" si="5"/>
        <v>27020030.271133769</v>
      </c>
      <c r="R20" s="80">
        <f t="shared" si="1"/>
        <v>2620942936.2999754</v>
      </c>
      <c r="S20" s="75"/>
      <c r="T20" s="80"/>
      <c r="U20" s="94"/>
      <c r="V20" s="75"/>
      <c r="W20" s="121">
        <v>44886</v>
      </c>
      <c r="X20" s="104">
        <v>0.51</v>
      </c>
      <c r="Y20" s="159">
        <v>22528854.786718749</v>
      </c>
      <c r="Z20" s="160">
        <v>9089655.2132812515</v>
      </c>
      <c r="AA20" s="161">
        <v>31618510</v>
      </c>
      <c r="AB20" s="162">
        <v>191345385.52578124</v>
      </c>
      <c r="AC20" s="75"/>
      <c r="AD20" s="94"/>
      <c r="AE20" s="94"/>
      <c r="AF20" s="94"/>
    </row>
    <row r="21" spans="1:32">
      <c r="A21" s="100">
        <f>+'Flujos de fondo MIN'!E8</f>
        <v>30815944</v>
      </c>
      <c r="B21" s="91">
        <f>+Carga!I8</f>
        <v>44866</v>
      </c>
      <c r="C21" s="101">
        <f>+Carga!P8</f>
        <v>30</v>
      </c>
      <c r="D21" s="102">
        <f>+IF(B21&lt;=$Q$5+C21,Carga!M8,$M$6)</f>
        <v>0.61</v>
      </c>
      <c r="E21" s="82">
        <f t="shared" si="6"/>
        <v>0.61</v>
      </c>
      <c r="F21" s="94">
        <f t="shared" si="7"/>
        <v>10042722.883823518</v>
      </c>
      <c r="G21" s="93">
        <f t="shared" si="2"/>
        <v>0</v>
      </c>
      <c r="H21" s="94"/>
      <c r="I21" s="121">
        <f>+'Flujos de fondo MIN'!B8</f>
        <v>44915</v>
      </c>
      <c r="J21" s="104">
        <f t="shared" si="8"/>
        <v>0.61</v>
      </c>
      <c r="K21" s="105">
        <f t="shared" si="9"/>
        <v>20773221.116176482</v>
      </c>
      <c r="L21" s="105">
        <f t="shared" si="11"/>
        <v>10042722.883823518</v>
      </c>
      <c r="M21" s="105">
        <f t="shared" si="10"/>
        <v>30815944</v>
      </c>
      <c r="N21" s="106">
        <f t="shared" si="4"/>
        <v>176788540.53281078</v>
      </c>
      <c r="O21" s="75"/>
      <c r="P21" s="99">
        <f t="shared" si="0"/>
        <v>126</v>
      </c>
      <c r="Q21" s="80">
        <f t="shared" si="5"/>
        <v>25125435.785313286</v>
      </c>
      <c r="R21" s="80">
        <f t="shared" si="1"/>
        <v>3165804908.9494739</v>
      </c>
      <c r="S21" s="75"/>
      <c r="T21" s="80"/>
      <c r="U21" s="94"/>
      <c r="V21" s="75"/>
      <c r="W21" s="121">
        <v>44915</v>
      </c>
      <c r="X21" s="104">
        <v>0.51</v>
      </c>
      <c r="Y21" s="159">
        <v>22683765.115154296</v>
      </c>
      <c r="Z21" s="160">
        <v>8132178.8848457029</v>
      </c>
      <c r="AA21" s="161">
        <v>30815944</v>
      </c>
      <c r="AB21" s="162">
        <v>168661620.41062695</v>
      </c>
      <c r="AC21" s="75"/>
      <c r="AD21" s="94"/>
      <c r="AE21" s="94"/>
      <c r="AF21" s="94"/>
    </row>
    <row r="22" spans="1:32">
      <c r="A22" s="100">
        <f>+'Flujos de fondo MIN'!E9</f>
        <v>30098700</v>
      </c>
      <c r="B22" s="91">
        <f>+Carga!I9</f>
        <v>44896</v>
      </c>
      <c r="C22" s="101">
        <f>+Carga!P9</f>
        <v>30</v>
      </c>
      <c r="D22" s="102">
        <f>+IF(B22&lt;=$Q$5+C22,Carga!M9,$M$6)</f>
        <v>0.61</v>
      </c>
      <c r="E22" s="82">
        <f t="shared" si="6"/>
        <v>0.61</v>
      </c>
      <c r="F22" s="94">
        <f t="shared" si="7"/>
        <v>8986750.8104178812</v>
      </c>
      <c r="G22" s="93">
        <f t="shared" si="2"/>
        <v>0</v>
      </c>
      <c r="H22" s="94"/>
      <c r="I22" s="121">
        <f>+'Flujos de fondo MIN'!B9</f>
        <v>44946</v>
      </c>
      <c r="J22" s="104">
        <f t="shared" si="8"/>
        <v>0.61</v>
      </c>
      <c r="K22" s="105">
        <f t="shared" si="9"/>
        <v>21111949.189582117</v>
      </c>
      <c r="L22" s="105">
        <f t="shared" si="11"/>
        <v>8986750.8104178812</v>
      </c>
      <c r="M22" s="105">
        <f t="shared" si="10"/>
        <v>30098700</v>
      </c>
      <c r="N22" s="106">
        <f t="shared" si="4"/>
        <v>155676591.34322867</v>
      </c>
      <c r="O22" s="75"/>
      <c r="P22" s="99">
        <f t="shared" si="0"/>
        <v>157</v>
      </c>
      <c r="Q22" s="80">
        <f t="shared" si="5"/>
        <v>23338461.835026335</v>
      </c>
      <c r="R22" s="80">
        <f t="shared" si="1"/>
        <v>3664138508.0991344</v>
      </c>
      <c r="S22" s="75"/>
      <c r="T22" s="80"/>
      <c r="U22" s="94"/>
      <c r="V22" s="75"/>
      <c r="W22" s="121">
        <v>44946</v>
      </c>
      <c r="X22" s="104">
        <v>0.51</v>
      </c>
      <c r="Y22" s="159">
        <v>22930581.132548355</v>
      </c>
      <c r="Z22" s="160">
        <v>7168118.8674516454</v>
      </c>
      <c r="AA22" s="161">
        <v>30098700</v>
      </c>
      <c r="AB22" s="162">
        <v>145731039.27807859</v>
      </c>
      <c r="AC22" s="75"/>
      <c r="AD22" s="94"/>
      <c r="AE22" s="94"/>
      <c r="AF22" s="94"/>
    </row>
    <row r="23" spans="1:32">
      <c r="A23" s="100">
        <f>+'Flujos de fondo MIN'!E10</f>
        <v>30320082</v>
      </c>
      <c r="B23" s="91">
        <f>+Carga!I10</f>
        <v>44927</v>
      </c>
      <c r="C23" s="101">
        <f>+Carga!P10</f>
        <v>30</v>
      </c>
      <c r="D23" s="102">
        <f>+IF(B23&lt;=$Q$5+C23,Carga!M10,$M$6)</f>
        <v>0.61</v>
      </c>
      <c r="E23" s="82">
        <f t="shared" si="6"/>
        <v>0.61</v>
      </c>
      <c r="F23" s="94">
        <f t="shared" si="7"/>
        <v>7913560.0599474562</v>
      </c>
      <c r="G23" s="93">
        <f t="shared" si="2"/>
        <v>0</v>
      </c>
      <c r="H23" s="94"/>
      <c r="I23" s="121">
        <f>+'Flujos de fondo MIN'!B10</f>
        <v>44977</v>
      </c>
      <c r="J23" s="104">
        <f t="shared" si="8"/>
        <v>0.61</v>
      </c>
      <c r="K23" s="105">
        <f t="shared" si="9"/>
        <v>22406521.940052543</v>
      </c>
      <c r="L23" s="105">
        <f t="shared" si="11"/>
        <v>7913560.0599474562</v>
      </c>
      <c r="M23" s="105">
        <f t="shared" si="10"/>
        <v>30320082</v>
      </c>
      <c r="N23" s="106">
        <f t="shared" si="4"/>
        <v>133270069.40317613</v>
      </c>
      <c r="O23" s="75"/>
      <c r="P23" s="99">
        <f t="shared" si="0"/>
        <v>188</v>
      </c>
      <c r="Q23" s="80">
        <f t="shared" si="5"/>
        <v>22358426.0419988</v>
      </c>
      <c r="R23" s="80">
        <f t="shared" si="1"/>
        <v>4203384095.8957744</v>
      </c>
      <c r="S23" s="75"/>
      <c r="T23" s="80"/>
      <c r="U23" s="94"/>
      <c r="V23" s="75"/>
      <c r="W23" s="121">
        <v>44977</v>
      </c>
      <c r="X23" s="104">
        <v>0.51</v>
      </c>
      <c r="Y23" s="159">
        <v>24126512.830681659</v>
      </c>
      <c r="Z23" s="160">
        <v>6193569.1693183398</v>
      </c>
      <c r="AA23" s="161">
        <v>30320082</v>
      </c>
      <c r="AB23" s="162">
        <v>121604526.44739693</v>
      </c>
      <c r="AC23" s="75"/>
      <c r="AD23" s="94"/>
      <c r="AE23" s="94"/>
      <c r="AF23" s="94"/>
    </row>
    <row r="24" spans="1:32">
      <c r="A24" s="100">
        <f>+'Flujos de fondo MIN'!E11</f>
        <v>29221545</v>
      </c>
      <c r="B24" s="91">
        <f>+Carga!I11</f>
        <v>44958</v>
      </c>
      <c r="C24" s="101">
        <f>+Carga!P11</f>
        <v>30</v>
      </c>
      <c r="D24" s="102">
        <f>+IF(B24&lt;=$Q$5+C24,Carga!M11,$M$6)</f>
        <v>0.61</v>
      </c>
      <c r="E24" s="82">
        <f t="shared" si="6"/>
        <v>0.61</v>
      </c>
      <c r="F24" s="94">
        <f t="shared" si="7"/>
        <v>6774561.8613281203</v>
      </c>
      <c r="G24" s="93">
        <f t="shared" si="2"/>
        <v>0</v>
      </c>
      <c r="H24" s="94"/>
      <c r="I24" s="121">
        <f>+'Flujos de fondo MIN'!B11</f>
        <v>45005</v>
      </c>
      <c r="J24" s="104">
        <f t="shared" si="8"/>
        <v>0.61</v>
      </c>
      <c r="K24" s="105">
        <f t="shared" si="9"/>
        <v>22446983.138671879</v>
      </c>
      <c r="L24" s="105">
        <f t="shared" si="11"/>
        <v>6774561.8613281203</v>
      </c>
      <c r="M24" s="105">
        <f t="shared" si="10"/>
        <v>29221545</v>
      </c>
      <c r="N24" s="106">
        <f t="shared" si="4"/>
        <v>110823086.26450425</v>
      </c>
      <c r="O24" s="75"/>
      <c r="P24" s="99">
        <f t="shared" si="0"/>
        <v>216</v>
      </c>
      <c r="Q24" s="80">
        <f t="shared" si="5"/>
        <v>20592609.862290386</v>
      </c>
      <c r="R24" s="80">
        <f t="shared" si="1"/>
        <v>4448003730.2547235</v>
      </c>
      <c r="S24" s="75"/>
      <c r="T24" s="80"/>
      <c r="U24" s="94"/>
      <c r="V24" s="75"/>
      <c r="W24" s="121">
        <v>45005</v>
      </c>
      <c r="X24" s="104">
        <v>0.51</v>
      </c>
      <c r="Y24" s="159">
        <v>24053352.62598563</v>
      </c>
      <c r="Z24" s="160">
        <v>5168192.3740143692</v>
      </c>
      <c r="AA24" s="161">
        <v>29221545</v>
      </c>
      <c r="AB24" s="162">
        <v>97551173.821411312</v>
      </c>
      <c r="AC24" s="75"/>
      <c r="AD24" s="94"/>
      <c r="AE24" s="94"/>
      <c r="AF24" s="94"/>
    </row>
    <row r="25" spans="1:32">
      <c r="A25" s="100">
        <f>+'Flujos de fondo MIN'!E12</f>
        <v>27979694</v>
      </c>
      <c r="B25" s="91">
        <f>+Carga!I12</f>
        <v>44986</v>
      </c>
      <c r="C25" s="101">
        <f>+Carga!P12</f>
        <v>30</v>
      </c>
      <c r="D25" s="102">
        <f>+IF(B25&lt;=$Q$5+C25,Carga!M12,$M$6)</f>
        <v>0.61</v>
      </c>
      <c r="E25" s="82">
        <f t="shared" si="6"/>
        <v>0.61</v>
      </c>
      <c r="F25" s="94">
        <f t="shared" si="7"/>
        <v>5633506.8851122987</v>
      </c>
      <c r="G25" s="93">
        <f t="shared" si="2"/>
        <v>0</v>
      </c>
      <c r="H25" s="94"/>
      <c r="I25" s="121">
        <f>+'Flujos de fondo MIN'!B12</f>
        <v>45036</v>
      </c>
      <c r="J25" s="104">
        <f t="shared" si="8"/>
        <v>0.61</v>
      </c>
      <c r="K25" s="105">
        <f t="shared" si="9"/>
        <v>22346187.114887699</v>
      </c>
      <c r="L25" s="105">
        <f t="shared" si="11"/>
        <v>5633506.8851122987</v>
      </c>
      <c r="M25" s="105">
        <f t="shared" si="10"/>
        <v>27979694</v>
      </c>
      <c r="N25" s="106">
        <f t="shared" si="4"/>
        <v>88476899.149616554</v>
      </c>
      <c r="O25" s="75"/>
      <c r="P25" s="99">
        <f t="shared" si="0"/>
        <v>247</v>
      </c>
      <c r="Q25" s="80">
        <f t="shared" si="5"/>
        <v>18751565.985839482</v>
      </c>
      <c r="R25" s="80">
        <f t="shared" si="1"/>
        <v>4631636798.5023518</v>
      </c>
      <c r="S25" s="75"/>
      <c r="T25" s="80"/>
      <c r="U25" s="94"/>
      <c r="V25" s="75"/>
      <c r="W25" s="121">
        <v>45036</v>
      </c>
      <c r="X25" s="104">
        <v>0.51</v>
      </c>
      <c r="Y25" s="159">
        <v>23833769.112590019</v>
      </c>
      <c r="Z25" s="160">
        <v>4145924.8874099809</v>
      </c>
      <c r="AA25" s="161">
        <v>27979694</v>
      </c>
      <c r="AB25" s="162">
        <v>73717404.708821297</v>
      </c>
      <c r="AC25" s="75"/>
      <c r="AD25" s="94"/>
      <c r="AE25" s="94"/>
      <c r="AF25" s="94"/>
    </row>
    <row r="26" spans="1:32">
      <c r="A26" s="100">
        <f>+'Flujos de fondo MIN'!E13</f>
        <v>26117205</v>
      </c>
      <c r="B26" s="91">
        <f>+Carga!I13</f>
        <v>45017</v>
      </c>
      <c r="C26" s="101">
        <f>+Carga!P13</f>
        <v>30</v>
      </c>
      <c r="D26" s="102">
        <f>+IF(B26&lt;=$Q$5+C26,Carga!M13,$M$6)</f>
        <v>0.61</v>
      </c>
      <c r="E26" s="82">
        <f>+MAX($J$7,MIN($J$8,$D26+$J$9/10000))</f>
        <v>0.61</v>
      </c>
      <c r="F26" s="94">
        <f t="shared" si="7"/>
        <v>4497575.7067721747</v>
      </c>
      <c r="G26" s="93">
        <f t="shared" si="2"/>
        <v>0</v>
      </c>
      <c r="H26" s="94"/>
      <c r="I26" s="121">
        <f>+'Flujos de fondo MIN'!B13</f>
        <v>45068</v>
      </c>
      <c r="J26" s="104">
        <f t="shared" si="8"/>
        <v>0.61</v>
      </c>
      <c r="K26" s="105">
        <f t="shared" si="9"/>
        <v>21619629.293227825</v>
      </c>
      <c r="L26" s="105">
        <f t="shared" si="11"/>
        <v>4497575.7067721747</v>
      </c>
      <c r="M26" s="105">
        <f t="shared" si="10"/>
        <v>26117205</v>
      </c>
      <c r="N26" s="106">
        <f t="shared" si="4"/>
        <v>66857269.856388733</v>
      </c>
      <c r="O26" s="75"/>
      <c r="P26" s="99">
        <f t="shared" si="0"/>
        <v>279</v>
      </c>
      <c r="Q26" s="80">
        <f t="shared" si="5"/>
        <v>16618965.21475387</v>
      </c>
      <c r="R26" s="80">
        <f t="shared" si="1"/>
        <v>4636691294.9163294</v>
      </c>
      <c r="S26" s="75"/>
      <c r="T26" s="80"/>
      <c r="U26" s="94"/>
      <c r="V26" s="75"/>
      <c r="W26" s="121">
        <v>45068</v>
      </c>
      <c r="X26" s="104">
        <v>0.51</v>
      </c>
      <c r="Y26" s="159">
        <v>22984215.299875095</v>
      </c>
      <c r="Z26" s="160">
        <v>3132989.700124905</v>
      </c>
      <c r="AA26" s="161">
        <v>26117205</v>
      </c>
      <c r="AB26" s="162">
        <v>50733189.408946201</v>
      </c>
      <c r="AC26" s="75"/>
      <c r="AD26" s="94"/>
      <c r="AE26" s="94"/>
      <c r="AF26" s="94"/>
    </row>
    <row r="27" spans="1:32" ht="15" customHeight="1">
      <c r="A27" s="100">
        <f>+'Flujos de fondo MIN'!E14</f>
        <v>23126253</v>
      </c>
      <c r="B27" s="91">
        <f>+Carga!I14</f>
        <v>45047</v>
      </c>
      <c r="C27" s="101">
        <f>+Carga!P14</f>
        <v>30</v>
      </c>
      <c r="D27" s="102">
        <f>+IF(B27&lt;=$Q$5+C27,Carga!M14,$M$6)</f>
        <v>0.61</v>
      </c>
      <c r="E27" s="82">
        <f t="shared" si="6"/>
        <v>0.61</v>
      </c>
      <c r="F27" s="94">
        <f t="shared" si="7"/>
        <v>3398577.8843664271</v>
      </c>
      <c r="G27" s="93">
        <f t="shared" si="2"/>
        <v>0</v>
      </c>
      <c r="H27" s="94"/>
      <c r="I27" s="121">
        <f>+'Flujos de fondo MIN'!B14</f>
        <v>45098</v>
      </c>
      <c r="J27" s="104">
        <f t="shared" si="8"/>
        <v>0.61</v>
      </c>
      <c r="K27" s="105">
        <f t="shared" ref="K27:K29" si="12">+MIN(A27-L27,N26)</f>
        <v>19727675.115633573</v>
      </c>
      <c r="L27" s="105">
        <f t="shared" si="11"/>
        <v>3398577.8843664271</v>
      </c>
      <c r="M27" s="105">
        <f t="shared" si="10"/>
        <v>23126253</v>
      </c>
      <c r="N27" s="106">
        <f t="shared" si="4"/>
        <v>47129594.740755156</v>
      </c>
      <c r="O27" s="75"/>
      <c r="P27" s="99">
        <f t="shared" si="0"/>
        <v>309</v>
      </c>
      <c r="Q27" s="80">
        <f t="shared" si="5"/>
        <v>14017565.159210041</v>
      </c>
      <c r="R27" s="80">
        <f t="shared" si="1"/>
        <v>4331427634.1959028</v>
      </c>
      <c r="S27" s="75"/>
      <c r="T27" s="80"/>
      <c r="U27" s="94"/>
      <c r="V27" s="75"/>
      <c r="W27" s="121">
        <v>45098</v>
      </c>
      <c r="X27" s="104">
        <v>0.51</v>
      </c>
      <c r="Y27" s="105">
        <v>20970092.450119786</v>
      </c>
      <c r="Z27" s="105">
        <v>2156160.5498802136</v>
      </c>
      <c r="AA27" s="105">
        <v>23126253</v>
      </c>
      <c r="AB27" s="106">
        <v>29763096.958826415</v>
      </c>
      <c r="AC27" s="75"/>
      <c r="AD27" s="94"/>
      <c r="AE27" s="94"/>
      <c r="AF27" s="94"/>
    </row>
    <row r="28" spans="1:32" ht="15" customHeight="1">
      <c r="A28" s="100">
        <f>+'Flujos de fondo MIN'!E15</f>
        <v>18874872</v>
      </c>
      <c r="B28" s="91">
        <f>+Carga!I15</f>
        <v>45078</v>
      </c>
      <c r="C28" s="101">
        <f>+Carga!P15</f>
        <v>30</v>
      </c>
      <c r="D28" s="102">
        <f>+IF(B28&lt;=$Q$5+C28,Carga!M15,$M$6)</f>
        <v>0.61</v>
      </c>
      <c r="E28" s="82">
        <f t="shared" si="6"/>
        <v>0.61</v>
      </c>
      <c r="F28" s="94">
        <f t="shared" si="7"/>
        <v>2395754.39932172</v>
      </c>
      <c r="G28" s="93">
        <f t="shared" si="2"/>
        <v>0</v>
      </c>
      <c r="H28" s="94"/>
      <c r="I28" s="121">
        <f>+'Flujos de fondo MIN'!B15</f>
        <v>45127</v>
      </c>
      <c r="J28" s="104">
        <f t="shared" si="8"/>
        <v>0.61</v>
      </c>
      <c r="K28" s="105">
        <f t="shared" si="12"/>
        <v>16479117.60067828</v>
      </c>
      <c r="L28" s="105">
        <f t="shared" si="11"/>
        <v>2395754.39932172</v>
      </c>
      <c r="M28" s="105">
        <f t="shared" si="10"/>
        <v>18874872</v>
      </c>
      <c r="N28" s="106">
        <f t="shared" si="4"/>
        <v>30650477.140076876</v>
      </c>
      <c r="O28" s="75"/>
      <c r="P28" s="99">
        <f t="shared" si="0"/>
        <v>338</v>
      </c>
      <c r="Q28" s="80">
        <f t="shared" si="5"/>
        <v>10915534.887900565</v>
      </c>
      <c r="R28" s="80">
        <f t="shared" si="1"/>
        <v>3689450792.1103911</v>
      </c>
      <c r="S28" s="75"/>
      <c r="T28" s="80"/>
      <c r="U28" s="94"/>
      <c r="V28" s="75"/>
      <c r="W28" s="121">
        <v>45127</v>
      </c>
      <c r="X28" s="104">
        <v>0.51</v>
      </c>
      <c r="Y28" s="105">
        <v>17609940.379249878</v>
      </c>
      <c r="Z28" s="105">
        <v>1264931.6207501227</v>
      </c>
      <c r="AA28" s="105">
        <v>18874872</v>
      </c>
      <c r="AB28" s="106">
        <v>12153156.579576537</v>
      </c>
      <c r="AC28" s="75"/>
      <c r="AD28" s="94"/>
      <c r="AE28" s="94"/>
      <c r="AF28" s="94"/>
    </row>
    <row r="29" spans="1:32" ht="15" customHeight="1">
      <c r="A29" s="100">
        <f>+'Flujos de fondo MIN'!E16</f>
        <v>15939636</v>
      </c>
      <c r="B29" s="91">
        <f>+Carga!I16</f>
        <v>45108</v>
      </c>
      <c r="C29" s="101">
        <f>+Carga!P16</f>
        <v>30</v>
      </c>
      <c r="D29" s="102">
        <f>+IF(B29&lt;=$Q$5+C29,Carga!M16,$M$6)</f>
        <v>0.61</v>
      </c>
      <c r="E29" s="82">
        <f t="shared" si="6"/>
        <v>0.61</v>
      </c>
      <c r="F29" s="94">
        <f t="shared" si="7"/>
        <v>1558065.9212872412</v>
      </c>
      <c r="G29" s="93">
        <f>+G28+F29-L29</f>
        <v>0</v>
      </c>
      <c r="H29" s="94"/>
      <c r="I29" s="103">
        <f>+'Flujos de fondo MIN'!B16</f>
        <v>45159</v>
      </c>
      <c r="J29" s="104">
        <f t="shared" si="8"/>
        <v>0.61</v>
      </c>
      <c r="K29" s="105">
        <f t="shared" si="12"/>
        <v>14381570.07871276</v>
      </c>
      <c r="L29" s="105">
        <f t="shared" si="11"/>
        <v>1558065.9212872412</v>
      </c>
      <c r="M29" s="105">
        <f t="shared" si="10"/>
        <v>15939636</v>
      </c>
      <c r="N29" s="106">
        <f>+N28-K29</f>
        <v>16268907.061364116</v>
      </c>
      <c r="O29" s="75"/>
      <c r="P29" s="99">
        <f t="shared" si="0"/>
        <v>370</v>
      </c>
      <c r="Q29" s="80">
        <f t="shared" si="5"/>
        <v>8752298.1847266704</v>
      </c>
      <c r="R29" s="80">
        <f t="shared" si="1"/>
        <v>3238350328.3488679</v>
      </c>
      <c r="S29" s="75"/>
      <c r="T29" s="80"/>
      <c r="U29" s="94"/>
      <c r="V29" s="75"/>
      <c r="W29" s="121">
        <v>45159</v>
      </c>
      <c r="X29" s="104">
        <v>0.51</v>
      </c>
      <c r="Y29" s="105">
        <v>12153156.579576537</v>
      </c>
      <c r="Z29" s="105">
        <v>516509.15463200281</v>
      </c>
      <c r="AA29" s="105">
        <v>12669665.734208539</v>
      </c>
      <c r="AB29" s="106">
        <v>0</v>
      </c>
      <c r="AC29" s="75"/>
      <c r="AD29" s="94"/>
      <c r="AE29" s="94"/>
      <c r="AF29" s="94"/>
    </row>
    <row r="30" spans="1:32" ht="15" customHeight="1">
      <c r="A30" s="100">
        <f>+'Flujos de fondo MIN'!E17</f>
        <v>15282452</v>
      </c>
      <c r="B30" s="91">
        <f>+Carga!I17</f>
        <v>45139</v>
      </c>
      <c r="C30" s="101">
        <f>+Carga!P17</f>
        <v>30</v>
      </c>
      <c r="D30" s="102">
        <f>+IF(B30&lt;=$Q$5+C30,Carga!M17,$M$6)</f>
        <v>0.61</v>
      </c>
      <c r="E30" s="82">
        <f t="shared" si="6"/>
        <v>0.61</v>
      </c>
      <c r="F30" s="94">
        <f t="shared" si="7"/>
        <v>827002.77561934269</v>
      </c>
      <c r="G30" s="93">
        <f t="shared" si="2"/>
        <v>0</v>
      </c>
      <c r="H30" s="94"/>
      <c r="I30" s="103">
        <f>+'Flujos de fondo MIN'!B17</f>
        <v>45189</v>
      </c>
      <c r="J30" s="104">
        <f t="shared" si="8"/>
        <v>0.61</v>
      </c>
      <c r="K30" s="105">
        <f>+MIN(A30-L30,N29)</f>
        <v>14455449.224380657</v>
      </c>
      <c r="L30" s="105">
        <f t="shared" ref="L30:L53" si="13">+MIN(F30+G29,A30)</f>
        <v>827002.77561934269</v>
      </c>
      <c r="M30" s="105">
        <f t="shared" ref="M30:M53" si="14">+L30+K30</f>
        <v>15282452</v>
      </c>
      <c r="N30" s="106">
        <f t="shared" ref="N30:N53" si="15">+N29-K30</f>
        <v>1813457.8369834591</v>
      </c>
      <c r="O30" s="75"/>
      <c r="P30" s="99">
        <f t="shared" si="0"/>
        <v>400</v>
      </c>
      <c r="Q30" s="80">
        <f>+M30/(1+$M$7)^(P30/365)</f>
        <v>7993312.2106570126</v>
      </c>
      <c r="R30" s="80">
        <f t="shared" si="1"/>
        <v>3197324884.262805</v>
      </c>
      <c r="S30" s="75"/>
      <c r="T30" s="80"/>
      <c r="U30" s="94"/>
      <c r="V30" s="75"/>
      <c r="W30" s="121">
        <v>45189</v>
      </c>
      <c r="X30" s="104">
        <v>0.51</v>
      </c>
      <c r="Y30" s="105">
        <v>0</v>
      </c>
      <c r="Z30" s="105">
        <v>0</v>
      </c>
      <c r="AA30" s="105">
        <v>0</v>
      </c>
      <c r="AB30" s="106">
        <v>0</v>
      </c>
      <c r="AC30" s="75"/>
      <c r="AD30" s="94"/>
      <c r="AE30" s="94"/>
      <c r="AF30" s="94"/>
    </row>
    <row r="31" spans="1:32" ht="15" customHeight="1">
      <c r="A31" s="100">
        <f>+'Flujos de fondo MIN'!E18</f>
        <v>14219818</v>
      </c>
      <c r="B31" s="91">
        <f>+Carga!I18</f>
        <v>45170</v>
      </c>
      <c r="C31" s="101">
        <f>+Carga!P18</f>
        <v>30</v>
      </c>
      <c r="D31" s="102">
        <f>+IF(B31&lt;=$Q$5+C31,Carga!M18,$M$6)</f>
        <v>0.61</v>
      </c>
      <c r="E31" s="82">
        <f t="shared" si="6"/>
        <v>0.61</v>
      </c>
      <c r="F31" s="94">
        <f t="shared" si="7"/>
        <v>92184.106713325833</v>
      </c>
      <c r="G31" s="93">
        <f t="shared" si="2"/>
        <v>0</v>
      </c>
      <c r="H31" s="94"/>
      <c r="I31" s="103">
        <f>+'Flujos de fondo MIN'!B18</f>
        <v>45219</v>
      </c>
      <c r="J31" s="104">
        <f t="shared" si="8"/>
        <v>0.61</v>
      </c>
      <c r="K31" s="105">
        <f t="shared" ref="K31:K53" si="16">+MIN(A31-L31,N30)</f>
        <v>1813457.8369834591</v>
      </c>
      <c r="L31" s="105">
        <f t="shared" si="13"/>
        <v>92184.106713325833</v>
      </c>
      <c r="M31" s="105">
        <f t="shared" si="14"/>
        <v>1905641.9436967848</v>
      </c>
      <c r="N31" s="106">
        <f t="shared" si="15"/>
        <v>0</v>
      </c>
      <c r="O31" s="75"/>
      <c r="P31" s="99">
        <f t="shared" si="0"/>
        <v>430</v>
      </c>
      <c r="Q31" s="80">
        <f t="shared" si="5"/>
        <v>949434.63241243619</v>
      </c>
      <c r="R31" s="80">
        <f t="shared" si="1"/>
        <v>408256891.93734753</v>
      </c>
      <c r="S31" s="75"/>
      <c r="T31" s="80"/>
      <c r="U31" s="94"/>
      <c r="V31" s="75"/>
      <c r="W31" s="121">
        <v>45219</v>
      </c>
      <c r="X31" s="104">
        <v>0.51</v>
      </c>
      <c r="Y31" s="105">
        <v>0</v>
      </c>
      <c r="Z31" s="105">
        <v>0</v>
      </c>
      <c r="AA31" s="105">
        <v>0</v>
      </c>
      <c r="AB31" s="106">
        <v>0</v>
      </c>
      <c r="AC31" s="75"/>
      <c r="AD31" s="94"/>
      <c r="AE31" s="94"/>
      <c r="AF31" s="94"/>
    </row>
    <row r="32" spans="1:32" ht="15" customHeight="1" outlineLevel="1">
      <c r="A32" s="100">
        <f>+'Flujos de fondo MIN'!E19</f>
        <v>13035523</v>
      </c>
      <c r="B32" s="91">
        <f>+Carga!I19</f>
        <v>45200</v>
      </c>
      <c r="C32" s="101">
        <f>+Carga!P19</f>
        <v>30</v>
      </c>
      <c r="D32" s="102">
        <f>+IF(B32&lt;=$Q$5+C32,Carga!M19,$M$6)</f>
        <v>0.61</v>
      </c>
      <c r="E32" s="82">
        <f t="shared" si="6"/>
        <v>0.61</v>
      </c>
      <c r="F32" s="94">
        <f t="shared" si="7"/>
        <v>0</v>
      </c>
      <c r="G32" s="93">
        <f t="shared" si="2"/>
        <v>0</v>
      </c>
      <c r="H32" s="94"/>
      <c r="I32" s="103">
        <f>+'Flujos de fondo MIN'!B19</f>
        <v>45250</v>
      </c>
      <c r="J32" s="104">
        <f t="shared" si="8"/>
        <v>0.61</v>
      </c>
      <c r="K32" s="105">
        <f t="shared" si="16"/>
        <v>0</v>
      </c>
      <c r="L32" s="105">
        <f t="shared" si="13"/>
        <v>0</v>
      </c>
      <c r="M32" s="105">
        <f t="shared" si="14"/>
        <v>0</v>
      </c>
      <c r="N32" s="106">
        <f t="shared" si="15"/>
        <v>0</v>
      </c>
      <c r="O32" s="75"/>
      <c r="P32" s="99">
        <f t="shared" si="0"/>
        <v>461</v>
      </c>
      <c r="Q32" s="80">
        <f t="shared" si="5"/>
        <v>0</v>
      </c>
      <c r="R32" s="80">
        <f t="shared" si="1"/>
        <v>0</v>
      </c>
      <c r="S32" s="75"/>
      <c r="T32" s="80"/>
      <c r="U32" s="94"/>
      <c r="V32" s="75"/>
      <c r="W32" s="121">
        <v>45250</v>
      </c>
      <c r="X32" s="104">
        <v>0.51</v>
      </c>
      <c r="Y32" s="105">
        <v>0</v>
      </c>
      <c r="Z32" s="105">
        <v>0</v>
      </c>
      <c r="AA32" s="105">
        <v>0</v>
      </c>
      <c r="AB32" s="106">
        <v>0</v>
      </c>
      <c r="AC32" s="75"/>
      <c r="AD32" s="94"/>
      <c r="AE32" s="94"/>
      <c r="AF32" s="94"/>
    </row>
    <row r="33" spans="1:32" ht="15" customHeight="1" outlineLevel="1">
      <c r="A33" s="100">
        <f>+'Flujos de fondo MIN'!E20</f>
        <v>10334777</v>
      </c>
      <c r="B33" s="91">
        <f>+Carga!I20</f>
        <v>45231</v>
      </c>
      <c r="C33" s="101">
        <f>+Carga!P20</f>
        <v>30</v>
      </c>
      <c r="D33" s="102">
        <f>+IF(B33&lt;=$Q$5+C33,Carga!M20,$M$6)</f>
        <v>0.61</v>
      </c>
      <c r="E33" s="82">
        <f t="shared" si="6"/>
        <v>0.61</v>
      </c>
      <c r="F33" s="94">
        <f t="shared" si="7"/>
        <v>0</v>
      </c>
      <c r="G33" s="93">
        <f t="shared" si="2"/>
        <v>0</v>
      </c>
      <c r="H33" s="94"/>
      <c r="I33" s="103">
        <f>+'Flujos de fondo MIN'!B20</f>
        <v>45280</v>
      </c>
      <c r="J33" s="104">
        <f t="shared" si="8"/>
        <v>0.61</v>
      </c>
      <c r="K33" s="105">
        <f t="shared" si="16"/>
        <v>0</v>
      </c>
      <c r="L33" s="105">
        <f t="shared" si="13"/>
        <v>0</v>
      </c>
      <c r="M33" s="105">
        <f t="shared" si="14"/>
        <v>0</v>
      </c>
      <c r="N33" s="106">
        <f t="shared" si="15"/>
        <v>0</v>
      </c>
      <c r="O33" s="75"/>
      <c r="P33" s="99">
        <f t="shared" si="0"/>
        <v>491</v>
      </c>
      <c r="Q33" s="80">
        <f t="shared" si="5"/>
        <v>0</v>
      </c>
      <c r="R33" s="80">
        <f t="shared" si="1"/>
        <v>0</v>
      </c>
      <c r="S33" s="75"/>
      <c r="T33" s="80"/>
      <c r="U33" s="94"/>
      <c r="V33" s="75"/>
      <c r="W33" s="121">
        <v>45280</v>
      </c>
      <c r="X33" s="104">
        <v>0.51</v>
      </c>
      <c r="Y33" s="105">
        <v>0</v>
      </c>
      <c r="Z33" s="105">
        <v>0</v>
      </c>
      <c r="AA33" s="105">
        <v>0</v>
      </c>
      <c r="AB33" s="106">
        <v>0</v>
      </c>
      <c r="AC33" s="75"/>
      <c r="AD33" s="94"/>
      <c r="AE33" s="94"/>
      <c r="AF33" s="94"/>
    </row>
    <row r="34" spans="1:32" ht="15" customHeight="1" outlineLevel="1">
      <c r="A34" s="100">
        <f>+'Flujos de fondo MIN'!E21</f>
        <v>11644498</v>
      </c>
      <c r="B34" s="91">
        <f>+Carga!I21</f>
        <v>45261</v>
      </c>
      <c r="C34" s="101">
        <f>+Carga!P21</f>
        <v>30</v>
      </c>
      <c r="D34" s="102">
        <f>+IF(B34&lt;=$Q$5+C34,Carga!M21,$M$6)</f>
        <v>0.61</v>
      </c>
      <c r="E34" s="82">
        <f t="shared" si="6"/>
        <v>0.61</v>
      </c>
      <c r="F34" s="94">
        <f t="shared" si="7"/>
        <v>0</v>
      </c>
      <c r="G34" s="93">
        <f t="shared" si="2"/>
        <v>0</v>
      </c>
      <c r="H34" s="94"/>
      <c r="I34" s="103">
        <f>+'Flujos de fondo MIN'!B21</f>
        <v>45313</v>
      </c>
      <c r="J34" s="104">
        <f t="shared" si="8"/>
        <v>0.61</v>
      </c>
      <c r="K34" s="105">
        <f t="shared" si="16"/>
        <v>0</v>
      </c>
      <c r="L34" s="105">
        <f t="shared" si="13"/>
        <v>0</v>
      </c>
      <c r="M34" s="105">
        <f t="shared" si="14"/>
        <v>0</v>
      </c>
      <c r="N34" s="106">
        <f t="shared" si="15"/>
        <v>0</v>
      </c>
      <c r="O34" s="75"/>
      <c r="P34" s="99">
        <f t="shared" si="0"/>
        <v>524</v>
      </c>
      <c r="Q34" s="80">
        <f t="shared" si="5"/>
        <v>0</v>
      </c>
      <c r="R34" s="80">
        <f t="shared" si="1"/>
        <v>0</v>
      </c>
      <c r="S34" s="75"/>
      <c r="T34" s="80"/>
      <c r="U34" s="94"/>
      <c r="V34" s="75"/>
      <c r="W34" s="121">
        <v>44915</v>
      </c>
      <c r="X34" s="104">
        <v>0.35</v>
      </c>
      <c r="Y34" s="105">
        <v>0</v>
      </c>
      <c r="Z34" s="105">
        <v>0</v>
      </c>
      <c r="AA34" s="105">
        <v>0</v>
      </c>
      <c r="AB34" s="106">
        <v>0</v>
      </c>
      <c r="AC34" s="75"/>
      <c r="AD34" s="94"/>
      <c r="AE34" s="94"/>
      <c r="AF34" s="94"/>
    </row>
    <row r="35" spans="1:32" ht="15" customHeight="1" outlineLevel="1">
      <c r="A35" s="100">
        <f>+'Flujos de fondo MIN'!E22</f>
        <v>10943958</v>
      </c>
      <c r="B35" s="91">
        <f>+Carga!I22</f>
        <v>45292</v>
      </c>
      <c r="C35" s="101">
        <f>+Carga!P22</f>
        <v>30</v>
      </c>
      <c r="D35" s="102">
        <f>+IF(B35&lt;=$Q$5+C35,Carga!M22,$M$6)</f>
        <v>0.61</v>
      </c>
      <c r="E35" s="82">
        <f t="shared" si="6"/>
        <v>0.61</v>
      </c>
      <c r="F35" s="94">
        <f t="shared" si="7"/>
        <v>0</v>
      </c>
      <c r="G35" s="93">
        <f t="shared" si="2"/>
        <v>0</v>
      </c>
      <c r="H35" s="94"/>
      <c r="I35" s="103">
        <f>+'Flujos de fondo MIN'!B22</f>
        <v>45342</v>
      </c>
      <c r="J35" s="104">
        <f t="shared" si="8"/>
        <v>0.61</v>
      </c>
      <c r="K35" s="105">
        <f t="shared" si="16"/>
        <v>0</v>
      </c>
      <c r="L35" s="105">
        <f t="shared" si="13"/>
        <v>0</v>
      </c>
      <c r="M35" s="105">
        <f t="shared" si="14"/>
        <v>0</v>
      </c>
      <c r="N35" s="106">
        <f t="shared" si="15"/>
        <v>0</v>
      </c>
      <c r="O35" s="75"/>
      <c r="P35" s="99">
        <f t="shared" si="0"/>
        <v>553</v>
      </c>
      <c r="Q35" s="80">
        <f t="shared" si="5"/>
        <v>0</v>
      </c>
      <c r="R35" s="80">
        <f t="shared" si="1"/>
        <v>0</v>
      </c>
      <c r="S35" s="75"/>
      <c r="T35" s="80"/>
      <c r="U35" s="94"/>
      <c r="V35" s="75"/>
      <c r="W35" s="121">
        <v>44946</v>
      </c>
      <c r="X35" s="104">
        <v>0.35</v>
      </c>
      <c r="Y35" s="105">
        <v>0</v>
      </c>
      <c r="Z35" s="105">
        <v>0</v>
      </c>
      <c r="AA35" s="105">
        <v>0</v>
      </c>
      <c r="AB35" s="106">
        <v>0</v>
      </c>
      <c r="AC35" s="75"/>
      <c r="AD35" s="94"/>
      <c r="AE35" s="94"/>
      <c r="AF35" s="94"/>
    </row>
    <row r="36" spans="1:32" ht="15" customHeight="1" outlineLevel="1">
      <c r="A36" s="100">
        <f>+'Flujos de fondo MIN'!E23</f>
        <v>9663022</v>
      </c>
      <c r="B36" s="91">
        <f>+Carga!I23</f>
        <v>45323</v>
      </c>
      <c r="C36" s="101">
        <f>+Carga!P23</f>
        <v>30</v>
      </c>
      <c r="D36" s="102">
        <f>+IF(B36&lt;=$Q$5+C36,Carga!M23,$M$6)</f>
        <v>0.61</v>
      </c>
      <c r="E36" s="82">
        <f t="shared" si="6"/>
        <v>0.61</v>
      </c>
      <c r="F36" s="94">
        <f t="shared" si="7"/>
        <v>0</v>
      </c>
      <c r="G36" s="93">
        <f t="shared" si="2"/>
        <v>0</v>
      </c>
      <c r="H36" s="94"/>
      <c r="I36" s="103">
        <f>+'Flujos de fondo MIN'!B23</f>
        <v>45371</v>
      </c>
      <c r="J36" s="104">
        <f t="shared" si="8"/>
        <v>0.61</v>
      </c>
      <c r="K36" s="105">
        <f t="shared" si="16"/>
        <v>0</v>
      </c>
      <c r="L36" s="105">
        <f t="shared" si="13"/>
        <v>0</v>
      </c>
      <c r="M36" s="105">
        <f t="shared" si="14"/>
        <v>0</v>
      </c>
      <c r="N36" s="106">
        <f t="shared" si="15"/>
        <v>0</v>
      </c>
      <c r="O36" s="75"/>
      <c r="P36" s="99">
        <f t="shared" si="0"/>
        <v>582</v>
      </c>
      <c r="Q36" s="80">
        <f t="shared" si="5"/>
        <v>0</v>
      </c>
      <c r="R36" s="80">
        <f t="shared" si="1"/>
        <v>0</v>
      </c>
      <c r="S36" s="75"/>
      <c r="T36" s="80"/>
      <c r="U36" s="94"/>
      <c r="V36" s="75"/>
      <c r="W36" s="121">
        <v>44977</v>
      </c>
      <c r="X36" s="104">
        <v>0.35</v>
      </c>
      <c r="Y36" s="105">
        <v>0</v>
      </c>
      <c r="Z36" s="105">
        <v>0</v>
      </c>
      <c r="AA36" s="105">
        <v>0</v>
      </c>
      <c r="AB36" s="106">
        <v>0</v>
      </c>
      <c r="AC36" s="75"/>
      <c r="AD36" s="94"/>
      <c r="AE36" s="94"/>
      <c r="AF36" s="94"/>
    </row>
    <row r="37" spans="1:32" ht="15" customHeight="1" outlineLevel="1">
      <c r="A37" s="100">
        <f>+'Flujos de fondo MIN'!E24</f>
        <v>8266908</v>
      </c>
      <c r="B37" s="91">
        <f>+Carga!I24</f>
        <v>45352</v>
      </c>
      <c r="C37" s="101">
        <f>+Carga!P24</f>
        <v>30</v>
      </c>
      <c r="D37" s="102">
        <f>+IF(B37&lt;=$Q$5+C37,Carga!M24,$M$6)</f>
        <v>0.61</v>
      </c>
      <c r="E37" s="82">
        <f t="shared" si="6"/>
        <v>0.61</v>
      </c>
      <c r="F37" s="94">
        <f t="shared" si="7"/>
        <v>0</v>
      </c>
      <c r="G37" s="93">
        <f t="shared" si="2"/>
        <v>0</v>
      </c>
      <c r="H37" s="94"/>
      <c r="I37" s="103">
        <f>+'Flujos de fondo MIN'!B24</f>
        <v>45404</v>
      </c>
      <c r="J37" s="104">
        <f t="shared" si="8"/>
        <v>0.61</v>
      </c>
      <c r="K37" s="105">
        <f t="shared" si="16"/>
        <v>0</v>
      </c>
      <c r="L37" s="105">
        <f t="shared" si="13"/>
        <v>0</v>
      </c>
      <c r="M37" s="105">
        <f t="shared" si="14"/>
        <v>0</v>
      </c>
      <c r="N37" s="106">
        <f t="shared" si="15"/>
        <v>0</v>
      </c>
      <c r="O37" s="75"/>
      <c r="P37" s="99">
        <f t="shared" si="0"/>
        <v>615</v>
      </c>
      <c r="Q37" s="80">
        <f t="shared" si="5"/>
        <v>0</v>
      </c>
      <c r="R37" s="80">
        <f t="shared" si="1"/>
        <v>0</v>
      </c>
      <c r="S37" s="75"/>
      <c r="T37" s="75"/>
      <c r="U37" s="94"/>
      <c r="V37" s="75"/>
      <c r="W37" s="121">
        <v>45005</v>
      </c>
      <c r="X37" s="104">
        <v>0.35</v>
      </c>
      <c r="Y37" s="105">
        <v>0</v>
      </c>
      <c r="Z37" s="105">
        <v>0</v>
      </c>
      <c r="AA37" s="105">
        <v>0</v>
      </c>
      <c r="AB37" s="106">
        <v>0</v>
      </c>
      <c r="AC37" s="75"/>
      <c r="AD37" s="75"/>
      <c r="AE37" s="75"/>
      <c r="AF37" s="75"/>
    </row>
    <row r="38" spans="1:32" ht="15" customHeight="1" outlineLevel="1">
      <c r="A38" s="100">
        <f>+'Flujos de fondo MIN'!E25</f>
        <v>6935193</v>
      </c>
      <c r="B38" s="91">
        <f>+Carga!I25</f>
        <v>45383</v>
      </c>
      <c r="C38" s="101">
        <f>+Carga!P25</f>
        <v>30</v>
      </c>
      <c r="D38" s="102">
        <f>+IF(B38&lt;=$Q$5+C38,Carga!M25,$M$6)</f>
        <v>0.61</v>
      </c>
      <c r="E38" s="82">
        <f t="shared" si="6"/>
        <v>0.61</v>
      </c>
      <c r="F38" s="94">
        <f t="shared" si="7"/>
        <v>0</v>
      </c>
      <c r="G38" s="93">
        <f t="shared" si="2"/>
        <v>0</v>
      </c>
      <c r="H38" s="94"/>
      <c r="I38" s="103">
        <f>+'Flujos de fondo MIN'!B25</f>
        <v>45432</v>
      </c>
      <c r="J38" s="104">
        <f t="shared" si="8"/>
        <v>0.61</v>
      </c>
      <c r="K38" s="105">
        <f t="shared" si="16"/>
        <v>0</v>
      </c>
      <c r="L38" s="105">
        <f t="shared" si="13"/>
        <v>0</v>
      </c>
      <c r="M38" s="105">
        <f t="shared" si="14"/>
        <v>0</v>
      </c>
      <c r="N38" s="106">
        <f t="shared" si="15"/>
        <v>0</v>
      </c>
      <c r="O38" s="75"/>
      <c r="P38" s="99">
        <f t="shared" si="0"/>
        <v>643</v>
      </c>
      <c r="Q38" s="80">
        <f t="shared" si="5"/>
        <v>0</v>
      </c>
      <c r="R38" s="80">
        <f t="shared" si="1"/>
        <v>0</v>
      </c>
      <c r="S38" s="75"/>
      <c r="T38" s="75"/>
      <c r="U38" s="94"/>
      <c r="V38" s="75"/>
      <c r="W38" s="121">
        <v>45036</v>
      </c>
      <c r="X38" s="104">
        <v>0.35</v>
      </c>
      <c r="Y38" s="105">
        <v>0</v>
      </c>
      <c r="Z38" s="105">
        <v>0</v>
      </c>
      <c r="AA38" s="105">
        <v>0</v>
      </c>
      <c r="AB38" s="106">
        <v>0</v>
      </c>
      <c r="AC38" s="75"/>
      <c r="AD38" s="75"/>
      <c r="AE38" s="75"/>
      <c r="AF38" s="75"/>
    </row>
    <row r="39" spans="1:32" ht="15" customHeight="1" outlineLevel="1">
      <c r="A39" s="100">
        <f>+'Flujos de fondo MIN'!E26</f>
        <v>6578975</v>
      </c>
      <c r="B39" s="91">
        <f>+Carga!I26</f>
        <v>45413</v>
      </c>
      <c r="C39" s="101">
        <f>+Carga!P26</f>
        <v>30</v>
      </c>
      <c r="D39" s="102">
        <f>+IF(B39&lt;=$Q$5+C39,Carga!M26,$M$6)</f>
        <v>0.61</v>
      </c>
      <c r="E39" s="82">
        <f t="shared" si="6"/>
        <v>0.61</v>
      </c>
      <c r="F39" s="94">
        <f t="shared" si="7"/>
        <v>0</v>
      </c>
      <c r="G39" s="93">
        <f t="shared" si="2"/>
        <v>0</v>
      </c>
      <c r="H39" s="94"/>
      <c r="I39" s="103">
        <f>+'Flujos de fondo MIN'!B26</f>
        <v>45464</v>
      </c>
      <c r="J39" s="104">
        <f t="shared" si="8"/>
        <v>0.61</v>
      </c>
      <c r="K39" s="105">
        <f t="shared" si="16"/>
        <v>0</v>
      </c>
      <c r="L39" s="105">
        <f t="shared" si="13"/>
        <v>0</v>
      </c>
      <c r="M39" s="105">
        <f t="shared" si="14"/>
        <v>0</v>
      </c>
      <c r="N39" s="106">
        <f t="shared" si="15"/>
        <v>0</v>
      </c>
      <c r="O39" s="75"/>
      <c r="P39" s="99">
        <f t="shared" si="0"/>
        <v>675</v>
      </c>
      <c r="Q39" s="80">
        <f t="shared" si="5"/>
        <v>0</v>
      </c>
      <c r="R39" s="80">
        <f t="shared" si="1"/>
        <v>0</v>
      </c>
      <c r="S39" s="75"/>
      <c r="T39" s="75"/>
      <c r="U39" s="94"/>
      <c r="V39" s="75"/>
      <c r="W39" s="121">
        <v>45068</v>
      </c>
      <c r="X39" s="104">
        <v>0.35</v>
      </c>
      <c r="Y39" s="105">
        <v>0</v>
      </c>
      <c r="Z39" s="105">
        <v>0</v>
      </c>
      <c r="AA39" s="105">
        <v>0</v>
      </c>
      <c r="AB39" s="106">
        <v>0</v>
      </c>
      <c r="AC39" s="75"/>
      <c r="AD39" s="75"/>
      <c r="AE39" s="75"/>
      <c r="AF39" s="75"/>
    </row>
    <row r="40" spans="1:32" ht="15" customHeight="1" outlineLevel="1">
      <c r="A40" s="100">
        <f>+'Flujos de fondo MIN'!E27</f>
        <v>5585863</v>
      </c>
      <c r="B40" s="91">
        <f>+Carga!I27</f>
        <v>45444</v>
      </c>
      <c r="C40" s="101">
        <f>+Carga!P27</f>
        <v>30</v>
      </c>
      <c r="D40" s="102">
        <f>+IF(B40&lt;=$Q$5+C40,Carga!M27,$M$6)</f>
        <v>0.61</v>
      </c>
      <c r="E40" s="82">
        <f t="shared" si="6"/>
        <v>0.61</v>
      </c>
      <c r="F40" s="94">
        <f t="shared" si="7"/>
        <v>0</v>
      </c>
      <c r="G40" s="93">
        <f t="shared" si="2"/>
        <v>0</v>
      </c>
      <c r="H40" s="94"/>
      <c r="I40" s="103">
        <f>+'Flujos de fondo MIN'!B27</f>
        <v>45495</v>
      </c>
      <c r="J40" s="104">
        <f t="shared" si="8"/>
        <v>0.61</v>
      </c>
      <c r="K40" s="105">
        <f t="shared" si="16"/>
        <v>0</v>
      </c>
      <c r="L40" s="105">
        <f t="shared" si="13"/>
        <v>0</v>
      </c>
      <c r="M40" s="105">
        <f t="shared" si="14"/>
        <v>0</v>
      </c>
      <c r="N40" s="106">
        <f t="shared" si="15"/>
        <v>0</v>
      </c>
      <c r="O40" s="75"/>
      <c r="P40" s="99">
        <f t="shared" si="0"/>
        <v>706</v>
      </c>
      <c r="Q40" s="80">
        <f t="shared" si="5"/>
        <v>0</v>
      </c>
      <c r="R40" s="80">
        <f t="shared" si="1"/>
        <v>0</v>
      </c>
      <c r="S40" s="75"/>
      <c r="T40" s="75"/>
      <c r="U40" s="94"/>
      <c r="V40" s="75"/>
      <c r="W40" s="121">
        <v>45098</v>
      </c>
      <c r="X40" s="104">
        <v>0.35</v>
      </c>
      <c r="Y40" s="105">
        <v>0</v>
      </c>
      <c r="Z40" s="105">
        <v>0</v>
      </c>
      <c r="AA40" s="105">
        <v>0</v>
      </c>
      <c r="AB40" s="106">
        <v>0</v>
      </c>
      <c r="AC40" s="75"/>
      <c r="AD40" s="75"/>
      <c r="AE40" s="75"/>
      <c r="AF40" s="75"/>
    </row>
    <row r="41" spans="1:32" ht="15" customHeight="1" outlineLevel="1">
      <c r="A41" s="100">
        <f>+'Flujos de fondo MIN'!E28</f>
        <v>5340962</v>
      </c>
      <c r="B41" s="91">
        <f>+Carga!I28</f>
        <v>45474</v>
      </c>
      <c r="C41" s="101">
        <f>+Carga!P28</f>
        <v>30</v>
      </c>
      <c r="D41" s="102">
        <f>+IF(B41&lt;=$Q$5+C41,Carga!M28,$M$6)</f>
        <v>0.61</v>
      </c>
      <c r="E41" s="82">
        <f t="shared" si="6"/>
        <v>0.61</v>
      </c>
      <c r="F41" s="94">
        <f t="shared" si="7"/>
        <v>0</v>
      </c>
      <c r="G41" s="93">
        <f t="shared" si="2"/>
        <v>0</v>
      </c>
      <c r="H41" s="94"/>
      <c r="I41" s="103">
        <f>+'Flujos de fondo MIN'!B28</f>
        <v>45524</v>
      </c>
      <c r="J41" s="104">
        <f t="shared" si="8"/>
        <v>0.61</v>
      </c>
      <c r="K41" s="105">
        <f t="shared" si="16"/>
        <v>0</v>
      </c>
      <c r="L41" s="105">
        <f t="shared" si="13"/>
        <v>0</v>
      </c>
      <c r="M41" s="105">
        <f t="shared" si="14"/>
        <v>0</v>
      </c>
      <c r="N41" s="106">
        <f t="shared" si="15"/>
        <v>0</v>
      </c>
      <c r="O41" s="75"/>
      <c r="P41" s="99">
        <f t="shared" si="0"/>
        <v>735</v>
      </c>
      <c r="Q41" s="80">
        <f t="shared" si="5"/>
        <v>0</v>
      </c>
      <c r="R41" s="80">
        <f t="shared" si="1"/>
        <v>0</v>
      </c>
      <c r="S41" s="75"/>
      <c r="T41" s="75"/>
      <c r="U41" s="94"/>
      <c r="V41" s="75"/>
      <c r="W41" s="121">
        <v>45127</v>
      </c>
      <c r="X41" s="104">
        <v>0.35</v>
      </c>
      <c r="Y41" s="105">
        <v>0</v>
      </c>
      <c r="Z41" s="105">
        <v>0</v>
      </c>
      <c r="AA41" s="105">
        <v>0</v>
      </c>
      <c r="AB41" s="106">
        <v>0</v>
      </c>
      <c r="AC41" s="75"/>
      <c r="AD41" s="75"/>
      <c r="AE41" s="75"/>
      <c r="AF41" s="75"/>
    </row>
    <row r="42" spans="1:32" ht="15" customHeight="1" outlineLevel="1">
      <c r="A42" s="100">
        <f>+'Flujos de fondo MIN'!E29</f>
        <v>5233759</v>
      </c>
      <c r="B42" s="91">
        <f>+Carga!I29</f>
        <v>45505</v>
      </c>
      <c r="C42" s="101">
        <f>+Carga!P29</f>
        <v>30</v>
      </c>
      <c r="D42" s="102">
        <f>+IF(B42&lt;=$Q$5+C42,Carga!M29,$M$6)</f>
        <v>0.61</v>
      </c>
      <c r="E42" s="82">
        <f t="shared" si="6"/>
        <v>0.61</v>
      </c>
      <c r="F42" s="94">
        <f t="shared" si="7"/>
        <v>0</v>
      </c>
      <c r="G42" s="93">
        <f t="shared" si="2"/>
        <v>0</v>
      </c>
      <c r="H42" s="94"/>
      <c r="I42" s="103">
        <f>+'Flujos de fondo MIN'!B29</f>
        <v>45555</v>
      </c>
      <c r="J42" s="104">
        <f t="shared" si="8"/>
        <v>0.61</v>
      </c>
      <c r="K42" s="105">
        <f t="shared" si="16"/>
        <v>0</v>
      </c>
      <c r="L42" s="105">
        <f t="shared" si="13"/>
        <v>0</v>
      </c>
      <c r="M42" s="105">
        <f t="shared" si="14"/>
        <v>0</v>
      </c>
      <c r="N42" s="106">
        <f t="shared" si="15"/>
        <v>0</v>
      </c>
      <c r="O42" s="75"/>
      <c r="P42" s="99">
        <f t="shared" si="0"/>
        <v>766</v>
      </c>
      <c r="Q42" s="80">
        <f t="shared" si="5"/>
        <v>0</v>
      </c>
      <c r="R42" s="80">
        <f t="shared" si="1"/>
        <v>0</v>
      </c>
      <c r="S42" s="75"/>
      <c r="T42" s="75"/>
      <c r="U42" s="94"/>
      <c r="V42" s="75"/>
      <c r="W42" s="121">
        <v>45159</v>
      </c>
      <c r="X42" s="104">
        <v>0.35</v>
      </c>
      <c r="Y42" s="105">
        <v>0</v>
      </c>
      <c r="Z42" s="105">
        <v>0</v>
      </c>
      <c r="AA42" s="105">
        <v>0</v>
      </c>
      <c r="AB42" s="106">
        <v>0</v>
      </c>
      <c r="AC42" s="75"/>
      <c r="AD42" s="75"/>
      <c r="AE42" s="75"/>
      <c r="AF42" s="75"/>
    </row>
    <row r="43" spans="1:32" ht="15" customHeight="1" outlineLevel="1">
      <c r="A43" s="100">
        <f>+'Flujos de fondo MIN'!E30</f>
        <v>5101301</v>
      </c>
      <c r="B43" s="91">
        <f>+Carga!I30</f>
        <v>45536</v>
      </c>
      <c r="C43" s="101">
        <f>+Carga!P30</f>
        <v>30</v>
      </c>
      <c r="D43" s="102">
        <f>+IF(B43&lt;=$Q$5+C43,Carga!M30,$M$6)</f>
        <v>0.61</v>
      </c>
      <c r="E43" s="82">
        <f t="shared" si="6"/>
        <v>0.61</v>
      </c>
      <c r="F43" s="94">
        <f t="shared" si="7"/>
        <v>0</v>
      </c>
      <c r="G43" s="93">
        <f t="shared" si="2"/>
        <v>0</v>
      </c>
      <c r="H43" s="94"/>
      <c r="I43" s="103">
        <f>+'Flujos de fondo MIN'!B30</f>
        <v>45586</v>
      </c>
      <c r="J43" s="104">
        <f t="shared" si="8"/>
        <v>0.61</v>
      </c>
      <c r="K43" s="105">
        <f t="shared" si="16"/>
        <v>0</v>
      </c>
      <c r="L43" s="105">
        <f t="shared" si="13"/>
        <v>0</v>
      </c>
      <c r="M43" s="105">
        <f t="shared" si="14"/>
        <v>0</v>
      </c>
      <c r="N43" s="106">
        <f t="shared" si="15"/>
        <v>0</v>
      </c>
      <c r="O43" s="75"/>
      <c r="P43" s="99">
        <f t="shared" si="0"/>
        <v>797</v>
      </c>
      <c r="Q43" s="80">
        <f t="shared" si="5"/>
        <v>0</v>
      </c>
      <c r="R43" s="80">
        <f t="shared" si="1"/>
        <v>0</v>
      </c>
      <c r="S43" s="75"/>
      <c r="T43" s="75"/>
      <c r="U43" s="94"/>
      <c r="V43" s="75"/>
      <c r="W43" s="121">
        <v>45189</v>
      </c>
      <c r="X43" s="104">
        <v>0.35</v>
      </c>
      <c r="Y43" s="105">
        <v>0</v>
      </c>
      <c r="Z43" s="105">
        <v>0</v>
      </c>
      <c r="AA43" s="105">
        <v>0</v>
      </c>
      <c r="AB43" s="106">
        <v>0</v>
      </c>
      <c r="AC43" s="75"/>
      <c r="AD43" s="75"/>
      <c r="AE43" s="75"/>
      <c r="AF43" s="75"/>
    </row>
    <row r="44" spans="1:32" ht="15" customHeight="1" outlineLevel="1">
      <c r="A44" s="100">
        <f>+'Flujos de fondo MIN'!E31</f>
        <v>4867505</v>
      </c>
      <c r="B44" s="91">
        <f>+Carga!I31</f>
        <v>45566</v>
      </c>
      <c r="C44" s="101">
        <f>+Carga!P31</f>
        <v>30</v>
      </c>
      <c r="D44" s="102">
        <f>+IF(B44&lt;=$Q$5+C44,Carga!M31,$M$6)</f>
        <v>0.61</v>
      </c>
      <c r="E44" s="82">
        <f t="shared" si="6"/>
        <v>0.61</v>
      </c>
      <c r="F44" s="94">
        <f t="shared" si="7"/>
        <v>0</v>
      </c>
      <c r="G44" s="93">
        <f t="shared" si="2"/>
        <v>0</v>
      </c>
      <c r="H44" s="94"/>
      <c r="I44" s="103">
        <f>+'Flujos de fondo MIN'!B31</f>
        <v>45616</v>
      </c>
      <c r="J44" s="104">
        <f t="shared" si="8"/>
        <v>0.61</v>
      </c>
      <c r="K44" s="105">
        <f t="shared" si="16"/>
        <v>0</v>
      </c>
      <c r="L44" s="105">
        <f t="shared" si="13"/>
        <v>0</v>
      </c>
      <c r="M44" s="105">
        <f t="shared" si="14"/>
        <v>0</v>
      </c>
      <c r="N44" s="106">
        <f t="shared" si="15"/>
        <v>0</v>
      </c>
      <c r="O44" s="75"/>
      <c r="P44" s="99">
        <f t="shared" si="0"/>
        <v>827</v>
      </c>
      <c r="Q44" s="80">
        <f t="shared" si="5"/>
        <v>0</v>
      </c>
      <c r="R44" s="80">
        <f t="shared" si="1"/>
        <v>0</v>
      </c>
      <c r="S44" s="75"/>
      <c r="T44" s="75"/>
      <c r="U44" s="94"/>
      <c r="V44" s="75"/>
      <c r="W44" s="121">
        <v>45219</v>
      </c>
      <c r="X44" s="104">
        <v>0.35</v>
      </c>
      <c r="Y44" s="105">
        <v>0</v>
      </c>
      <c r="Z44" s="105">
        <v>0</v>
      </c>
      <c r="AA44" s="105">
        <v>0</v>
      </c>
      <c r="AB44" s="106">
        <v>0</v>
      </c>
      <c r="AC44" s="75"/>
      <c r="AD44" s="75"/>
      <c r="AE44" s="75"/>
      <c r="AF44" s="75"/>
    </row>
    <row r="45" spans="1:32" ht="15" customHeight="1" outlineLevel="1">
      <c r="A45" s="100">
        <f>+'Flujos de fondo MIN'!E32</f>
        <v>4825700</v>
      </c>
      <c r="B45" s="91">
        <f>+Carga!I32</f>
        <v>45597</v>
      </c>
      <c r="C45" s="101">
        <f>+Carga!P32</f>
        <v>30</v>
      </c>
      <c r="D45" s="102">
        <f>+IF(B45&lt;=$Q$5+C45,Carga!M32,$M$6)</f>
        <v>0.61</v>
      </c>
      <c r="E45" s="82">
        <f t="shared" si="6"/>
        <v>0.61</v>
      </c>
      <c r="F45" s="94">
        <f t="shared" si="7"/>
        <v>0</v>
      </c>
      <c r="G45" s="93">
        <f t="shared" si="2"/>
        <v>0</v>
      </c>
      <c r="H45" s="94"/>
      <c r="I45" s="103">
        <f>+'Flujos de fondo MIN'!B32</f>
        <v>45646</v>
      </c>
      <c r="J45" s="104">
        <f t="shared" si="8"/>
        <v>0.61</v>
      </c>
      <c r="K45" s="105">
        <f t="shared" si="16"/>
        <v>0</v>
      </c>
      <c r="L45" s="105">
        <f t="shared" si="13"/>
        <v>0</v>
      </c>
      <c r="M45" s="105">
        <f t="shared" si="14"/>
        <v>0</v>
      </c>
      <c r="N45" s="106">
        <f t="shared" si="15"/>
        <v>0</v>
      </c>
      <c r="O45" s="75"/>
      <c r="P45" s="99">
        <f t="shared" si="0"/>
        <v>857</v>
      </c>
      <c r="Q45" s="80">
        <f t="shared" si="5"/>
        <v>0</v>
      </c>
      <c r="R45" s="80">
        <f t="shared" si="1"/>
        <v>0</v>
      </c>
      <c r="S45" s="75"/>
      <c r="T45" s="75"/>
      <c r="U45" s="94"/>
      <c r="V45" s="75"/>
      <c r="W45" s="121">
        <v>45250</v>
      </c>
      <c r="X45" s="104">
        <v>0.35</v>
      </c>
      <c r="Y45" s="105">
        <v>0</v>
      </c>
      <c r="Z45" s="105">
        <v>0</v>
      </c>
      <c r="AA45" s="105">
        <v>0</v>
      </c>
      <c r="AB45" s="106">
        <v>0</v>
      </c>
      <c r="AC45" s="75"/>
      <c r="AD45" s="75"/>
      <c r="AE45" s="75"/>
      <c r="AF45" s="75"/>
    </row>
    <row r="46" spans="1:32" ht="15" customHeight="1" outlineLevel="1">
      <c r="A46" s="100">
        <f>+'Flujos de fondo MIN'!E33</f>
        <v>4741228</v>
      </c>
      <c r="B46" s="91">
        <f>+Carga!I33</f>
        <v>45627</v>
      </c>
      <c r="C46" s="101">
        <f>+Carga!P33</f>
        <v>30</v>
      </c>
      <c r="D46" s="102">
        <f>+IF(B46&lt;=$Q$5+C46,Carga!M33,$M$6)</f>
        <v>0.61</v>
      </c>
      <c r="E46" s="82">
        <f t="shared" si="6"/>
        <v>0.61</v>
      </c>
      <c r="F46" s="94">
        <f t="shared" si="7"/>
        <v>0</v>
      </c>
      <c r="G46" s="93">
        <f t="shared" si="2"/>
        <v>0</v>
      </c>
      <c r="H46" s="94"/>
      <c r="I46" s="103">
        <f>+'Flujos de fondo MIN'!B33</f>
        <v>45677</v>
      </c>
      <c r="J46" s="104">
        <f t="shared" si="8"/>
        <v>0.61</v>
      </c>
      <c r="K46" s="105">
        <f t="shared" si="16"/>
        <v>0</v>
      </c>
      <c r="L46" s="105">
        <f t="shared" si="13"/>
        <v>0</v>
      </c>
      <c r="M46" s="105">
        <f t="shared" si="14"/>
        <v>0</v>
      </c>
      <c r="N46" s="106">
        <f t="shared" si="15"/>
        <v>0</v>
      </c>
      <c r="O46" s="75"/>
      <c r="P46" s="99">
        <f t="shared" si="0"/>
        <v>888</v>
      </c>
      <c r="Q46" s="80">
        <f t="shared" si="5"/>
        <v>0</v>
      </c>
      <c r="R46" s="80">
        <f t="shared" si="1"/>
        <v>0</v>
      </c>
      <c r="S46" s="75"/>
      <c r="T46" s="75"/>
      <c r="U46" s="94"/>
      <c r="V46" s="75"/>
      <c r="W46" s="121">
        <v>45280</v>
      </c>
      <c r="X46" s="104">
        <v>0.35</v>
      </c>
      <c r="Y46" s="105">
        <v>0</v>
      </c>
      <c r="Z46" s="105">
        <v>0</v>
      </c>
      <c r="AA46" s="105">
        <v>0</v>
      </c>
      <c r="AB46" s="106">
        <v>0</v>
      </c>
      <c r="AC46" s="75"/>
      <c r="AD46" s="75"/>
      <c r="AE46" s="75"/>
      <c r="AF46" s="75"/>
    </row>
    <row r="47" spans="1:32" ht="15" customHeight="1" outlineLevel="1">
      <c r="A47" s="100">
        <f>+'Flujos de fondo MIN'!E34</f>
        <v>4045023</v>
      </c>
      <c r="B47" s="91">
        <f>+Carga!I34</f>
        <v>45658</v>
      </c>
      <c r="C47" s="101">
        <f>+Carga!P34</f>
        <v>30</v>
      </c>
      <c r="D47" s="102">
        <f>+IF(B47&lt;=$Q$5+C47,Carga!M34,$M$6)</f>
        <v>0.61</v>
      </c>
      <c r="E47" s="82">
        <f t="shared" si="6"/>
        <v>0.61</v>
      </c>
      <c r="F47" s="94">
        <f t="shared" si="7"/>
        <v>0</v>
      </c>
      <c r="G47" s="93">
        <f t="shared" si="2"/>
        <v>0</v>
      </c>
      <c r="H47" s="94"/>
      <c r="I47" s="103">
        <f>+'Flujos de fondo MIN'!B34</f>
        <v>45708</v>
      </c>
      <c r="J47" s="104">
        <f t="shared" si="8"/>
        <v>0.61</v>
      </c>
      <c r="K47" s="105">
        <f t="shared" si="16"/>
        <v>0</v>
      </c>
      <c r="L47" s="105">
        <f t="shared" si="13"/>
        <v>0</v>
      </c>
      <c r="M47" s="105">
        <f t="shared" si="14"/>
        <v>0</v>
      </c>
      <c r="N47" s="106">
        <f t="shared" si="15"/>
        <v>0</v>
      </c>
      <c r="O47" s="75"/>
      <c r="P47" s="99">
        <f t="shared" si="0"/>
        <v>919</v>
      </c>
      <c r="Q47" s="80">
        <f t="shared" si="5"/>
        <v>0</v>
      </c>
      <c r="R47" s="80">
        <f t="shared" si="1"/>
        <v>0</v>
      </c>
      <c r="S47" s="75"/>
      <c r="T47" s="75"/>
      <c r="U47" s="94"/>
      <c r="V47" s="75"/>
      <c r="W47" s="121">
        <v>45313</v>
      </c>
      <c r="X47" s="104">
        <v>0.35</v>
      </c>
      <c r="Y47" s="105">
        <v>0</v>
      </c>
      <c r="Z47" s="105">
        <v>0</v>
      </c>
      <c r="AA47" s="105">
        <v>0</v>
      </c>
      <c r="AB47" s="106">
        <v>0</v>
      </c>
      <c r="AC47" s="75"/>
      <c r="AD47" s="75"/>
      <c r="AE47" s="75"/>
      <c r="AF47" s="75"/>
    </row>
    <row r="48" spans="1:32" ht="15" customHeight="1" outlineLevel="1">
      <c r="A48" s="100">
        <f>+'Flujos de fondo MIN'!E35</f>
        <v>3123474</v>
      </c>
      <c r="B48" s="91">
        <f>+Carga!I35</f>
        <v>45689</v>
      </c>
      <c r="C48" s="101">
        <f>+Carga!P35</f>
        <v>30</v>
      </c>
      <c r="D48" s="102">
        <f>+IF(B48&lt;=$Q$5+C48,Carga!M35,$M$6)</f>
        <v>0.61</v>
      </c>
      <c r="E48" s="82">
        <f t="shared" si="6"/>
        <v>0.61</v>
      </c>
      <c r="F48" s="94">
        <f t="shared" si="7"/>
        <v>0</v>
      </c>
      <c r="G48" s="93">
        <f t="shared" si="2"/>
        <v>0</v>
      </c>
      <c r="H48" s="94"/>
      <c r="I48" s="103">
        <f>+'Flujos de fondo MIN'!B35</f>
        <v>45736</v>
      </c>
      <c r="J48" s="104">
        <f t="shared" si="8"/>
        <v>0.61</v>
      </c>
      <c r="K48" s="105">
        <f t="shared" si="16"/>
        <v>0</v>
      </c>
      <c r="L48" s="105">
        <f t="shared" si="13"/>
        <v>0</v>
      </c>
      <c r="M48" s="105">
        <f t="shared" si="14"/>
        <v>0</v>
      </c>
      <c r="N48" s="106">
        <f t="shared" si="15"/>
        <v>0</v>
      </c>
      <c r="O48" s="75"/>
      <c r="P48" s="99">
        <f t="shared" si="0"/>
        <v>947</v>
      </c>
      <c r="Q48" s="80">
        <f t="shared" si="5"/>
        <v>0</v>
      </c>
      <c r="R48" s="80">
        <f t="shared" si="1"/>
        <v>0</v>
      </c>
      <c r="S48" s="75"/>
      <c r="T48" s="75"/>
      <c r="U48" s="94"/>
      <c r="V48" s="75"/>
      <c r="W48" s="121">
        <v>45342</v>
      </c>
      <c r="X48" s="104">
        <v>0.35</v>
      </c>
      <c r="Y48" s="105">
        <v>0</v>
      </c>
      <c r="Z48" s="105">
        <v>0</v>
      </c>
      <c r="AA48" s="105">
        <v>0</v>
      </c>
      <c r="AB48" s="106">
        <v>0</v>
      </c>
      <c r="AC48" s="75"/>
      <c r="AD48" s="75"/>
      <c r="AE48" s="75"/>
      <c r="AF48" s="75"/>
    </row>
    <row r="49" spans="1:32" ht="15" customHeight="1" outlineLevel="1">
      <c r="A49" s="100">
        <f>+'Flujos de fondo MIN'!E36</f>
        <v>2323480</v>
      </c>
      <c r="B49" s="91">
        <f>+Carga!I36</f>
        <v>45717</v>
      </c>
      <c r="C49" s="101">
        <f>+Carga!P36</f>
        <v>30</v>
      </c>
      <c r="D49" s="102">
        <f>+IF(B49&lt;=$Q$5+C49,Carga!M36,$M$6)</f>
        <v>0.61</v>
      </c>
      <c r="E49" s="82">
        <f t="shared" si="6"/>
        <v>0.61</v>
      </c>
      <c r="F49" s="94">
        <f t="shared" si="7"/>
        <v>0</v>
      </c>
      <c r="G49" s="93">
        <f t="shared" si="2"/>
        <v>0</v>
      </c>
      <c r="H49" s="94"/>
      <c r="I49" s="103">
        <f>+'Flujos de fondo MIN'!B36</f>
        <v>45768</v>
      </c>
      <c r="J49" s="104">
        <f t="shared" si="8"/>
        <v>0.61</v>
      </c>
      <c r="K49" s="105">
        <f t="shared" si="16"/>
        <v>0</v>
      </c>
      <c r="L49" s="105">
        <f t="shared" si="13"/>
        <v>0</v>
      </c>
      <c r="M49" s="105">
        <f t="shared" si="14"/>
        <v>0</v>
      </c>
      <c r="N49" s="106">
        <f t="shared" si="15"/>
        <v>0</v>
      </c>
      <c r="O49" s="75"/>
      <c r="P49" s="99">
        <f t="shared" si="0"/>
        <v>979</v>
      </c>
      <c r="Q49" s="80">
        <f t="shared" si="5"/>
        <v>0</v>
      </c>
      <c r="R49" s="80">
        <f t="shared" si="1"/>
        <v>0</v>
      </c>
      <c r="S49" s="75"/>
      <c r="T49" s="75"/>
      <c r="U49" s="94"/>
      <c r="V49" s="75"/>
      <c r="W49" s="121">
        <v>45371</v>
      </c>
      <c r="X49" s="104">
        <v>0.35</v>
      </c>
      <c r="Y49" s="105">
        <v>0</v>
      </c>
      <c r="Z49" s="105">
        <v>0</v>
      </c>
      <c r="AA49" s="105">
        <v>0</v>
      </c>
      <c r="AB49" s="106">
        <v>0</v>
      </c>
      <c r="AC49" s="75"/>
      <c r="AD49" s="75"/>
      <c r="AE49" s="75"/>
      <c r="AF49" s="75"/>
    </row>
    <row r="50" spans="1:32" ht="15" customHeight="1" outlineLevel="1">
      <c r="A50" s="100">
        <f>+'Flujos de fondo MIN'!E37</f>
        <v>1388268</v>
      </c>
      <c r="B50" s="91">
        <f>+Carga!I37</f>
        <v>45748</v>
      </c>
      <c r="C50" s="101">
        <f>+Carga!P37</f>
        <v>30</v>
      </c>
      <c r="D50" s="102">
        <f>+IF(B50&lt;=$Q$5+C50,Carga!M37,$M$6)</f>
        <v>0.61</v>
      </c>
      <c r="E50" s="82">
        <f t="shared" si="6"/>
        <v>0.61</v>
      </c>
      <c r="F50" s="94">
        <f t="shared" si="7"/>
        <v>0</v>
      </c>
      <c r="G50" s="93">
        <f t="shared" si="2"/>
        <v>0</v>
      </c>
      <c r="H50" s="94"/>
      <c r="I50" s="103">
        <f>+'Flujos de fondo MIN'!B37</f>
        <v>45797</v>
      </c>
      <c r="J50" s="104">
        <f t="shared" si="8"/>
        <v>0.61</v>
      </c>
      <c r="K50" s="105">
        <f t="shared" si="16"/>
        <v>0</v>
      </c>
      <c r="L50" s="105">
        <f t="shared" si="13"/>
        <v>0</v>
      </c>
      <c r="M50" s="105">
        <f t="shared" si="14"/>
        <v>0</v>
      </c>
      <c r="N50" s="106">
        <f t="shared" si="15"/>
        <v>0</v>
      </c>
      <c r="O50" s="75"/>
      <c r="P50" s="99">
        <f t="shared" si="0"/>
        <v>1008</v>
      </c>
      <c r="Q50" s="80">
        <f t="shared" si="5"/>
        <v>0</v>
      </c>
      <c r="R50" s="80">
        <f t="shared" si="1"/>
        <v>0</v>
      </c>
      <c r="S50" s="75"/>
      <c r="T50" s="75"/>
      <c r="U50" s="94"/>
      <c r="V50" s="75"/>
      <c r="W50" s="121">
        <v>45404</v>
      </c>
      <c r="X50" s="104">
        <v>0.35</v>
      </c>
      <c r="Y50" s="105">
        <v>0</v>
      </c>
      <c r="Z50" s="105">
        <v>0</v>
      </c>
      <c r="AA50" s="105">
        <v>0</v>
      </c>
      <c r="AB50" s="106">
        <v>0</v>
      </c>
      <c r="AC50" s="75"/>
      <c r="AD50" s="75"/>
      <c r="AE50" s="75"/>
      <c r="AF50" s="75"/>
    </row>
    <row r="51" spans="1:32" ht="15" customHeight="1" outlineLevel="1">
      <c r="A51" s="100">
        <f>+'Flujos de fondo MIN'!E38</f>
        <v>845306</v>
      </c>
      <c r="B51" s="91">
        <f>+Carga!I38</f>
        <v>45778</v>
      </c>
      <c r="C51" s="101">
        <f>+Carga!P38</f>
        <v>30</v>
      </c>
      <c r="D51" s="102">
        <f>+IF(B51&lt;=$Q$5+C51,Carga!M38,$M$6)</f>
        <v>0.61</v>
      </c>
      <c r="E51" s="82">
        <f t="shared" si="6"/>
        <v>0.61</v>
      </c>
      <c r="F51" s="94">
        <f t="shared" si="7"/>
        <v>0</v>
      </c>
      <c r="G51" s="93">
        <f t="shared" si="2"/>
        <v>0</v>
      </c>
      <c r="H51" s="94"/>
      <c r="I51" s="103">
        <f>+'Flujos de fondo MIN'!B38</f>
        <v>45831</v>
      </c>
      <c r="J51" s="104">
        <f t="shared" si="8"/>
        <v>0.61</v>
      </c>
      <c r="K51" s="105">
        <f t="shared" si="16"/>
        <v>0</v>
      </c>
      <c r="L51" s="105">
        <f t="shared" si="13"/>
        <v>0</v>
      </c>
      <c r="M51" s="105">
        <f t="shared" si="14"/>
        <v>0</v>
      </c>
      <c r="N51" s="106">
        <f t="shared" si="15"/>
        <v>0</v>
      </c>
      <c r="O51" s="75"/>
      <c r="P51" s="99">
        <f t="shared" si="0"/>
        <v>1042</v>
      </c>
      <c r="Q51" s="80">
        <f t="shared" si="5"/>
        <v>0</v>
      </c>
      <c r="R51" s="80">
        <f t="shared" si="1"/>
        <v>0</v>
      </c>
      <c r="S51" s="75"/>
      <c r="T51" s="75"/>
      <c r="U51" s="94"/>
      <c r="V51" s="75"/>
      <c r="W51" s="121">
        <v>45432</v>
      </c>
      <c r="X51" s="104">
        <v>0.35</v>
      </c>
      <c r="Y51" s="105">
        <v>0</v>
      </c>
      <c r="Z51" s="105">
        <v>0</v>
      </c>
      <c r="AA51" s="105">
        <v>0</v>
      </c>
      <c r="AB51" s="106">
        <v>0</v>
      </c>
      <c r="AC51" s="75"/>
      <c r="AD51" s="75"/>
      <c r="AE51" s="75"/>
      <c r="AF51" s="75"/>
    </row>
    <row r="52" spans="1:32" ht="15" customHeight="1" outlineLevel="1">
      <c r="A52" s="100">
        <f>+'Flujos de fondo MIN'!E39</f>
        <v>309807</v>
      </c>
      <c r="B52" s="91">
        <f>+Carga!I39</f>
        <v>45809</v>
      </c>
      <c r="C52" s="101">
        <f>+Carga!P39</f>
        <v>30</v>
      </c>
      <c r="D52" s="102">
        <f>+IF(B52&lt;=$Q$5+C52,Carga!M39,$M$6)</f>
        <v>0.61</v>
      </c>
      <c r="E52" s="82">
        <f t="shared" si="6"/>
        <v>0.61</v>
      </c>
      <c r="F52" s="94">
        <f t="shared" si="7"/>
        <v>0</v>
      </c>
      <c r="G52" s="93">
        <f t="shared" si="2"/>
        <v>0</v>
      </c>
      <c r="H52" s="94"/>
      <c r="I52" s="103">
        <f>+'Flujos de fondo MIN'!B39</f>
        <v>45859</v>
      </c>
      <c r="J52" s="104">
        <f t="shared" si="8"/>
        <v>0.61</v>
      </c>
      <c r="K52" s="105">
        <f t="shared" si="16"/>
        <v>0</v>
      </c>
      <c r="L52" s="105">
        <f t="shared" si="13"/>
        <v>0</v>
      </c>
      <c r="M52" s="105">
        <f t="shared" si="14"/>
        <v>0</v>
      </c>
      <c r="N52" s="106">
        <f t="shared" si="15"/>
        <v>0</v>
      </c>
      <c r="O52" s="75"/>
      <c r="P52" s="99">
        <f t="shared" si="0"/>
        <v>1070</v>
      </c>
      <c r="Q52" s="80">
        <f t="shared" si="5"/>
        <v>0</v>
      </c>
      <c r="R52" s="80">
        <f t="shared" si="1"/>
        <v>0</v>
      </c>
      <c r="S52" s="75"/>
      <c r="T52" s="75"/>
      <c r="U52" s="94"/>
      <c r="V52" s="75"/>
      <c r="W52" s="121">
        <v>45464</v>
      </c>
      <c r="X52" s="104">
        <v>0.35</v>
      </c>
      <c r="Y52" s="105">
        <v>0</v>
      </c>
      <c r="Z52" s="105">
        <v>0</v>
      </c>
      <c r="AA52" s="105">
        <v>0</v>
      </c>
      <c r="AB52" s="106">
        <v>0</v>
      </c>
      <c r="AC52" s="75"/>
      <c r="AD52" s="75"/>
      <c r="AE52" s="75"/>
      <c r="AF52" s="75"/>
    </row>
    <row r="53" spans="1:32" ht="15.75" customHeight="1" outlineLevel="1" thickBot="1">
      <c r="A53" s="100">
        <f>+'Flujos de fondo MIN'!E40</f>
        <v>142596</v>
      </c>
      <c r="B53" s="91">
        <f>+Carga!I40</f>
        <v>45839</v>
      </c>
      <c r="C53" s="101">
        <f>+Carga!P40</f>
        <v>30</v>
      </c>
      <c r="D53" s="102">
        <f>+IF(B53&lt;=$Q$5+C53,Carga!M40,$M$6)</f>
        <v>0.61</v>
      </c>
      <c r="E53" s="82">
        <f t="shared" si="6"/>
        <v>0.61</v>
      </c>
      <c r="F53" s="94">
        <f t="shared" si="7"/>
        <v>0</v>
      </c>
      <c r="G53" s="93">
        <f t="shared" si="2"/>
        <v>0</v>
      </c>
      <c r="H53" s="94"/>
      <c r="I53" s="103">
        <f>+'Flujos de fondo MIN'!B40</f>
        <v>45889</v>
      </c>
      <c r="J53" s="104">
        <f t="shared" si="8"/>
        <v>0.61</v>
      </c>
      <c r="K53" s="105">
        <f t="shared" si="16"/>
        <v>0</v>
      </c>
      <c r="L53" s="105">
        <f t="shared" si="13"/>
        <v>0</v>
      </c>
      <c r="M53" s="105">
        <f t="shared" si="14"/>
        <v>0</v>
      </c>
      <c r="N53" s="106">
        <f t="shared" si="15"/>
        <v>0</v>
      </c>
      <c r="O53" s="75"/>
      <c r="P53" s="99">
        <f t="shared" si="0"/>
        <v>1100</v>
      </c>
      <c r="Q53" s="80">
        <f t="shared" si="5"/>
        <v>0</v>
      </c>
      <c r="R53" s="80">
        <f t="shared" si="1"/>
        <v>0</v>
      </c>
      <c r="S53" s="75"/>
      <c r="T53" s="75"/>
      <c r="U53" s="94"/>
      <c r="V53" s="75"/>
      <c r="W53" s="121">
        <v>45495</v>
      </c>
      <c r="X53" s="104">
        <v>0.35</v>
      </c>
      <c r="Y53" s="105">
        <v>0</v>
      </c>
      <c r="Z53" s="105">
        <v>0</v>
      </c>
      <c r="AA53" s="105">
        <v>0</v>
      </c>
      <c r="AB53" s="106">
        <v>0</v>
      </c>
      <c r="AC53" s="75"/>
      <c r="AD53" s="75"/>
      <c r="AE53" s="75"/>
      <c r="AF53" s="75"/>
    </row>
    <row r="54" spans="1:32" ht="15.75" thickBot="1">
      <c r="A54" s="110">
        <f>SUM(A18:A40)</f>
        <v>440903440</v>
      </c>
      <c r="B54" s="75"/>
      <c r="C54" s="75"/>
      <c r="D54" s="75"/>
      <c r="E54" s="75"/>
      <c r="F54" s="110">
        <f>+SUM(F18:F53)</f>
        <v>88390546.943696782</v>
      </c>
      <c r="G54" s="75"/>
      <c r="H54" s="75"/>
      <c r="I54" s="107" t="s">
        <v>45</v>
      </c>
      <c r="J54" s="108"/>
      <c r="K54" s="109">
        <f>+SUM(K18:K53)</f>
        <v>257210000.00000003</v>
      </c>
      <c r="L54" s="109">
        <f>+SUM(L18:L53)</f>
        <v>88390546.943696782</v>
      </c>
      <c r="M54" s="109">
        <f>+SUM(M18:M53)</f>
        <v>345600546.9436968</v>
      </c>
      <c r="N54" s="109">
        <f>+N53</f>
        <v>0</v>
      </c>
      <c r="O54" s="75"/>
      <c r="P54" s="80"/>
      <c r="Q54" s="80">
        <f>+SUM(Q17:Q53)</f>
        <v>255744110.36786658</v>
      </c>
      <c r="R54" s="80">
        <f>+SUM(R17:R53)</f>
        <v>45181395800.234924</v>
      </c>
      <c r="S54" s="75"/>
      <c r="T54" s="75"/>
      <c r="U54" s="94"/>
      <c r="V54" s="75"/>
      <c r="W54" s="107" t="s">
        <v>45</v>
      </c>
      <c r="X54" s="108"/>
      <c r="Y54" s="109">
        <f>SUM(Y18:Y53)</f>
        <v>257210000</v>
      </c>
      <c r="Z54" s="109">
        <f>SUM(Z18:Z53)</f>
        <v>67932482.734208539</v>
      </c>
      <c r="AA54" s="109">
        <f>SUM(AA18:AA53)</f>
        <v>325142482.73420852</v>
      </c>
      <c r="AB54" s="109"/>
      <c r="AC54" s="75"/>
      <c r="AD54" s="75"/>
      <c r="AE54" s="75"/>
      <c r="AF54" s="75"/>
    </row>
    <row r="55" spans="1:32">
      <c r="A55" s="75"/>
      <c r="B55" s="75"/>
      <c r="C55" s="75"/>
      <c r="D55" s="75"/>
      <c r="E55" s="75"/>
      <c r="F55" s="75"/>
      <c r="G55" s="75"/>
      <c r="H55" s="75"/>
      <c r="I55" s="92"/>
      <c r="J55" s="92"/>
      <c r="K55" s="111">
        <f>+'Flujos de fondo MIN'!J66-K54</f>
        <v>0</v>
      </c>
      <c r="L55" s="111">
        <f>+'Flujos de fondo MIN'!K66-L54</f>
        <v>0</v>
      </c>
      <c r="M55" s="111">
        <f>+'Flujos de fondo MIN'!L66-M54</f>
        <v>0</v>
      </c>
      <c r="N55" s="75"/>
      <c r="O55" s="75"/>
      <c r="P55" s="75"/>
      <c r="Q55" s="80"/>
      <c r="R55" s="80">
        <f>+R54/Q54</f>
        <v>176.66641759704751</v>
      </c>
      <c r="S55" s="75"/>
      <c r="T55" s="75"/>
      <c r="U55" s="94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</row>
    <row r="56" spans="1:32">
      <c r="A56" s="94"/>
      <c r="B56" s="75"/>
      <c r="C56" s="75"/>
      <c r="D56" s="75"/>
      <c r="E56" s="75"/>
      <c r="F56" s="75"/>
      <c r="G56" s="75"/>
      <c r="H56" s="75"/>
      <c r="I56" s="92"/>
      <c r="J56" s="92"/>
      <c r="K56" s="94"/>
      <c r="L56" s="94"/>
      <c r="M56" s="94"/>
      <c r="N56" s="75"/>
      <c r="O56" s="75"/>
      <c r="P56" s="75"/>
      <c r="Q56" s="90" t="s">
        <v>18</v>
      </c>
      <c r="R56" s="112">
        <f>+R55/30</f>
        <v>5.8888805865682503</v>
      </c>
      <c r="S56" s="75"/>
      <c r="T56" s="75"/>
      <c r="U56" s="94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</row>
    <row r="57" spans="1:32" ht="16.5" customHeight="1">
      <c r="A57" s="75"/>
      <c r="B57" s="75"/>
      <c r="C57" s="75"/>
      <c r="D57" s="75"/>
      <c r="E57" s="75"/>
      <c r="F57" s="75"/>
      <c r="G57" s="75"/>
      <c r="H57" s="75"/>
      <c r="I57" s="176" t="s">
        <v>74</v>
      </c>
      <c r="J57" s="177"/>
      <c r="K57" s="177"/>
      <c r="L57" s="177"/>
      <c r="M57" s="177"/>
      <c r="N57" s="177"/>
      <c r="O57" s="113"/>
      <c r="P57" s="75"/>
      <c r="Q57" s="90" t="s">
        <v>46</v>
      </c>
      <c r="R57" s="112">
        <f>+R56/((1+M7)^(1/12))</f>
        <v>5.6056965424116054</v>
      </c>
      <c r="S57" s="75"/>
      <c r="T57" s="75"/>
      <c r="U57" s="94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</row>
    <row r="58" spans="1:32" ht="16.5" customHeight="1">
      <c r="A58" s="75"/>
      <c r="B58" s="75"/>
      <c r="C58" s="75"/>
      <c r="D58" s="75"/>
      <c r="E58" s="75"/>
      <c r="F58" s="75"/>
      <c r="G58" s="75"/>
      <c r="H58" s="75"/>
      <c r="I58" s="177"/>
      <c r="J58" s="178"/>
      <c r="K58" s="178"/>
      <c r="L58" s="178"/>
      <c r="M58" s="178"/>
      <c r="N58" s="177"/>
      <c r="O58" s="113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</row>
    <row r="59" spans="1:32" ht="16.5" customHeight="1">
      <c r="A59" s="75"/>
      <c r="B59" s="75"/>
      <c r="C59" s="75"/>
      <c r="D59" s="75"/>
      <c r="E59" s="75"/>
      <c r="F59" s="75"/>
      <c r="G59" s="75"/>
      <c r="H59" s="75"/>
      <c r="I59" s="177"/>
      <c r="J59" s="178"/>
      <c r="K59" s="178"/>
      <c r="L59" s="178"/>
      <c r="M59" s="178"/>
      <c r="N59" s="177"/>
      <c r="O59" s="113"/>
      <c r="P59" s="75"/>
      <c r="Q59" s="75"/>
      <c r="R59" s="75"/>
      <c r="S59" s="75"/>
      <c r="T59" s="75"/>
      <c r="U59" s="75"/>
      <c r="V59" s="75"/>
      <c r="W59" s="75"/>
      <c r="X59" s="75"/>
      <c r="Y59" s="94"/>
      <c r="Z59" s="75"/>
      <c r="AA59" s="75"/>
      <c r="AB59" s="75"/>
      <c r="AC59" s="75"/>
      <c r="AD59" s="75"/>
      <c r="AE59" s="75"/>
      <c r="AF59" s="75"/>
    </row>
    <row r="60" spans="1:32" ht="16.5" customHeight="1">
      <c r="A60" s="75"/>
      <c r="B60" s="75"/>
      <c r="C60" s="75"/>
      <c r="D60" s="75"/>
      <c r="E60" s="75"/>
      <c r="F60" s="75"/>
      <c r="G60" s="75"/>
      <c r="H60" s="75"/>
      <c r="I60" s="177"/>
      <c r="J60" s="178"/>
      <c r="K60" s="178"/>
      <c r="L60" s="178"/>
      <c r="M60" s="178"/>
      <c r="N60" s="177"/>
      <c r="O60" s="113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</row>
    <row r="61" spans="1:32" ht="16.5" customHeight="1">
      <c r="A61" s="75"/>
      <c r="B61" s="75"/>
      <c r="C61" s="75"/>
      <c r="D61" s="75"/>
      <c r="E61" s="75"/>
      <c r="F61" s="75"/>
      <c r="G61" s="75"/>
      <c r="H61" s="75"/>
      <c r="I61" s="177"/>
      <c r="J61" s="177"/>
      <c r="K61" s="177"/>
      <c r="L61" s="177"/>
      <c r="M61" s="177"/>
      <c r="N61" s="177"/>
      <c r="O61" s="113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</row>
    <row r="62" spans="1:32" ht="16.5" customHeight="1">
      <c r="A62" s="75"/>
      <c r="B62" s="75"/>
      <c r="C62" s="75"/>
      <c r="D62" s="75"/>
      <c r="E62" s="75"/>
      <c r="F62" s="75"/>
      <c r="G62" s="75"/>
      <c r="H62" s="75"/>
      <c r="I62" s="113"/>
      <c r="J62" s="113"/>
      <c r="K62" s="113"/>
      <c r="L62" s="146"/>
      <c r="M62" s="147"/>
      <c r="N62" s="113"/>
      <c r="O62" s="113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</row>
    <row r="63" spans="1:32" ht="16.5" customHeight="1">
      <c r="A63" s="75"/>
      <c r="B63" s="75"/>
      <c r="C63" s="75"/>
      <c r="D63" s="75"/>
      <c r="E63" s="75"/>
      <c r="F63" s="75"/>
      <c r="G63" s="75"/>
      <c r="H63" s="75"/>
      <c r="I63" s="92"/>
      <c r="J63" s="92"/>
      <c r="K63" s="75"/>
      <c r="L63" s="146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</row>
    <row r="64" spans="1:32" ht="16.5" customHeight="1">
      <c r="A64" s="75"/>
      <c r="B64" s="75"/>
      <c r="C64" s="75"/>
      <c r="D64" s="75"/>
      <c r="E64" s="75"/>
      <c r="F64" s="75"/>
      <c r="G64" s="75"/>
      <c r="H64" s="75"/>
      <c r="I64" s="92"/>
      <c r="J64" s="92"/>
      <c r="K64" s="75"/>
      <c r="L64" s="146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</row>
    <row r="65" spans="1:32" ht="16.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146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</row>
    <row r="66" spans="1:32" ht="16.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146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</row>
    <row r="67" spans="1:32" ht="16.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146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</row>
    <row r="68" spans="1:32" ht="16.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146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  <row r="69" spans="1:32" ht="16.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</row>
    <row r="70" spans="1:32" ht="16.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</row>
    <row r="71" spans="1:32" ht="16.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</row>
    <row r="72" spans="1:32" ht="16.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</row>
    <row r="73" spans="1:32" ht="16.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</row>
    <row r="74" spans="1:32" ht="16.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</row>
    <row r="75" spans="1:32" ht="16.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</row>
    <row r="76" spans="1:32" ht="16.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</row>
    <row r="77" spans="1:32" ht="16.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</row>
    <row r="78" spans="1:32" ht="16.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</row>
    <row r="79" spans="1:32" ht="16.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</row>
    <row r="80" spans="1:32" ht="16.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</row>
    <row r="81" spans="1:32" ht="16.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</row>
    <row r="82" spans="1:32" ht="16.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</row>
    <row r="83" spans="1:32" ht="16.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</row>
    <row r="84" spans="1:32" ht="16.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</row>
    <row r="85" spans="1:32" ht="16.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</row>
    <row r="86" spans="1:32" ht="16.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</row>
    <row r="87" spans="1:32" ht="16.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</row>
    <row r="88" spans="1:32" ht="16.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</row>
    <row r="89" spans="1:32" ht="16.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</row>
    <row r="90" spans="1:32" ht="16.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</row>
    <row r="91" spans="1:32" ht="16.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</row>
    <row r="92" spans="1:32" ht="16.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</row>
    <row r="93" spans="1:32" ht="16.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</row>
    <row r="94" spans="1:32" ht="16.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</row>
    <row r="95" spans="1:32" ht="16.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</row>
    <row r="96" spans="1:32" ht="16.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</row>
    <row r="97" spans="1:32" ht="16.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</row>
    <row r="98" spans="1:32" ht="16.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</row>
    <row r="99" spans="1:32" ht="16.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</row>
    <row r="100" spans="1:32" ht="16.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</row>
    <row r="101" spans="1:32" ht="16.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</row>
    <row r="102" spans="1:32" ht="16.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</row>
    <row r="103" spans="1:32" ht="16.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</row>
    <row r="104" spans="1:32" ht="16.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</row>
    <row r="105" spans="1:32" ht="16.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</row>
    <row r="106" spans="1:32" ht="16.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</row>
    <row r="107" spans="1:32" ht="16.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</row>
    <row r="108" spans="1:32" ht="16.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</row>
    <row r="109" spans="1:32" ht="16.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</row>
    <row r="110" spans="1:32" ht="16.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</row>
    <row r="111" spans="1:32" ht="16.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</row>
    <row r="112" spans="1:32" ht="16.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</row>
    <row r="113" spans="1:32" ht="16.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</row>
    <row r="114" spans="1:32" ht="16.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</row>
    <row r="115" spans="1:32" ht="16.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</row>
    <row r="116" spans="1:32" ht="16.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</row>
    <row r="117" spans="1:32" ht="16.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</row>
    <row r="118" spans="1:32" ht="16.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</row>
    <row r="119" spans="1:32" ht="16.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</row>
    <row r="120" spans="1:32" ht="16.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</row>
    <row r="121" spans="1:32" ht="16.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</row>
    <row r="122" spans="1:32" ht="16.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</row>
    <row r="123" spans="1:32" ht="16.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</row>
    <row r="124" spans="1:32" ht="16.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</row>
    <row r="125" spans="1:32" ht="16.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</row>
    <row r="126" spans="1:32" ht="16.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</row>
    <row r="127" spans="1:32" ht="16.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</row>
    <row r="128" spans="1:32" ht="16.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</row>
    <row r="129" spans="1:32" ht="16.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</row>
    <row r="130" spans="1:32" ht="16.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</row>
    <row r="131" spans="1:32" ht="16.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</row>
    <row r="132" spans="1:32" ht="16.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</row>
    <row r="133" spans="1:32" ht="16.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</row>
    <row r="134" spans="1:32" ht="16.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</row>
    <row r="135" spans="1:32" ht="16.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</row>
    <row r="136" spans="1:32" ht="16.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</row>
    <row r="137" spans="1:32" ht="16.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</row>
    <row r="138" spans="1:32" ht="16.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</row>
    <row r="139" spans="1:32" ht="16.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</row>
    <row r="140" spans="1:32" ht="16.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</row>
    <row r="141" spans="1:32" ht="16.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</row>
    <row r="142" spans="1:32" ht="16.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</row>
    <row r="143" spans="1:32" ht="16.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</row>
    <row r="144" spans="1:32" ht="16.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</row>
    <row r="145" spans="1:32" ht="16.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</row>
    <row r="146" spans="1:32" ht="16.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</row>
    <row r="147" spans="1:32" ht="16.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</row>
    <row r="148" spans="1:32" ht="16.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</row>
    <row r="149" spans="1:32" ht="16.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</row>
    <row r="150" spans="1:32" ht="16.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</row>
    <row r="151" spans="1:32" ht="16.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</row>
    <row r="152" spans="1:32" ht="16.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</row>
    <row r="153" spans="1:32" ht="16.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</row>
    <row r="154" spans="1:32" ht="16.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</row>
    <row r="155" spans="1:32" ht="16.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</row>
    <row r="156" spans="1:32" ht="16.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</row>
    <row r="157" spans="1:32" ht="16.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</row>
    <row r="158" spans="1:32" ht="16.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</row>
    <row r="159" spans="1:32" ht="16.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</row>
    <row r="160" spans="1:32" ht="16.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</row>
    <row r="161" spans="1:32" ht="16.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</row>
    <row r="162" spans="1:32" ht="16.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</row>
    <row r="163" spans="1:32" ht="16.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</row>
    <row r="164" spans="1:32" ht="16.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</row>
    <row r="165" spans="1:32" ht="16.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</row>
    <row r="166" spans="1:32" ht="16.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</row>
    <row r="167" spans="1:32" ht="16.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</row>
    <row r="168" spans="1:32" ht="16.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</row>
    <row r="169" spans="1:32" ht="16.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</row>
    <row r="170" spans="1:32" ht="16.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</row>
    <row r="171" spans="1:32" ht="16.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</row>
    <row r="172" spans="1:32" ht="16.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</row>
    <row r="173" spans="1:32" ht="16.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</row>
    <row r="174" spans="1:32" ht="16.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</row>
    <row r="175" spans="1:32" ht="16.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</row>
    <row r="176" spans="1:32" ht="16.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</row>
    <row r="177" spans="1:32" ht="16.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</row>
    <row r="178" spans="1:32" ht="16.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</row>
    <row r="179" spans="1:32" ht="16.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</row>
    <row r="180" spans="1:32" ht="16.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</row>
    <row r="181" spans="1:32" ht="16.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</row>
    <row r="182" spans="1:32" ht="16.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</row>
    <row r="183" spans="1:32" ht="16.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</row>
    <row r="184" spans="1:32" ht="16.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</row>
    <row r="185" spans="1:32" ht="16.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</row>
    <row r="186" spans="1:32" ht="16.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</row>
    <row r="187" spans="1:32" ht="16.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</row>
    <row r="188" spans="1:32" ht="16.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</row>
    <row r="189" spans="1:32" ht="16.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</row>
    <row r="190" spans="1:32" ht="16.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</row>
    <row r="191" spans="1:32" ht="16.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</row>
    <row r="192" spans="1:32" ht="16.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</row>
    <row r="193" spans="1:32" ht="16.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</row>
    <row r="194" spans="1:32" ht="16.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</row>
    <row r="195" spans="1:32" ht="16.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</row>
    <row r="196" spans="1:32" ht="16.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</row>
    <row r="197" spans="1:32" ht="16.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</row>
    <row r="198" spans="1:32" ht="16.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</row>
    <row r="199" spans="1:32" ht="16.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</row>
    <row r="200" spans="1:32" ht="16.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</row>
    <row r="201" spans="1:32" ht="16.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</row>
    <row r="202" spans="1:32" ht="16.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</row>
    <row r="203" spans="1:32" ht="16.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</row>
    <row r="204" spans="1:32" ht="16.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</row>
    <row r="205" spans="1:32" ht="16.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</row>
    <row r="206" spans="1:32" ht="16.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</row>
    <row r="207" spans="1:32" ht="16.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</row>
    <row r="208" spans="1:32" ht="16.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</row>
    <row r="209" spans="1:32" ht="16.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</row>
    <row r="210" spans="1:32" ht="16.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</row>
    <row r="211" spans="1:32" ht="16.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</row>
    <row r="212" spans="1:32" ht="16.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</row>
    <row r="213" spans="1:32" ht="16.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</row>
    <row r="214" spans="1:32" ht="16.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</row>
    <row r="215" spans="1:32" ht="16.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</row>
    <row r="216" spans="1:32" ht="16.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</row>
    <row r="217" spans="1:32" ht="16.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</row>
    <row r="218" spans="1:32" ht="16.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</row>
    <row r="219" spans="1:32" ht="16.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</row>
    <row r="220" spans="1:32" ht="16.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</row>
    <row r="221" spans="1:32" ht="16.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</row>
    <row r="222" spans="1:32" ht="16.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</row>
    <row r="223" spans="1:32" ht="16.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</row>
    <row r="224" spans="1:32" ht="16.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</row>
    <row r="225" spans="1:32" ht="16.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</row>
    <row r="226" spans="1:32" ht="16.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</row>
    <row r="227" spans="1:32" ht="16.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</row>
    <row r="228" spans="1:32" ht="16.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</row>
    <row r="229" spans="1:32" ht="16.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</row>
    <row r="230" spans="1:32" ht="16.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</row>
    <row r="231" spans="1:32" ht="16.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</row>
    <row r="232" spans="1:32" ht="16.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</row>
    <row r="233" spans="1:32" ht="16.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</row>
    <row r="234" spans="1:32" ht="16.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</row>
    <row r="235" spans="1:32" ht="16.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</row>
    <row r="236" spans="1:32" ht="16.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</row>
    <row r="237" spans="1:32" ht="16.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</row>
    <row r="238" spans="1:32" ht="16.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</row>
    <row r="239" spans="1:32" ht="16.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</row>
    <row r="240" spans="1:32" ht="16.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</row>
    <row r="241" spans="1:32" ht="16.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</row>
    <row r="242" spans="1:32" ht="16.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</row>
    <row r="243" spans="1:32" ht="16.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</row>
    <row r="244" spans="1:32" ht="16.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</row>
    <row r="245" spans="1:32" ht="16.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</row>
    <row r="246" spans="1:32" ht="16.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</row>
    <row r="247" spans="1:32" ht="16.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</row>
    <row r="248" spans="1:32" ht="16.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</row>
    <row r="249" spans="1:32" ht="16.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</row>
    <row r="250" spans="1:32" ht="16.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</row>
    <row r="251" spans="1:32" ht="16.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</row>
    <row r="252" spans="1:32" ht="16.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</row>
    <row r="253" spans="1:32" ht="16.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</row>
    <row r="254" spans="1:32" ht="16.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</row>
    <row r="255" spans="1:32" ht="16.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</row>
    <row r="256" spans="1:32" ht="16.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</row>
    <row r="257" spans="1:32" ht="16.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</row>
    <row r="258" spans="1:32" ht="16.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</row>
    <row r="259" spans="1:32" ht="16.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</row>
    <row r="260" spans="1:32" ht="16.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</row>
    <row r="261" spans="1:32" ht="16.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</row>
    <row r="262" spans="1:32" ht="16.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</row>
    <row r="263" spans="1:32" ht="16.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</row>
    <row r="264" spans="1:32" ht="16.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</row>
    <row r="265" spans="1:32" ht="16.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</row>
    <row r="266" spans="1:32" ht="16.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</row>
    <row r="267" spans="1:32" ht="16.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</row>
    <row r="268" spans="1:32" ht="16.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</row>
    <row r="269" spans="1:32" ht="16.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</row>
    <row r="270" spans="1:32" ht="16.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</row>
    <row r="271" spans="1:32" ht="16.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</row>
    <row r="272" spans="1:32" ht="16.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</row>
    <row r="273" spans="1:32" ht="16.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</row>
    <row r="274" spans="1:32" ht="16.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</row>
    <row r="275" spans="1:32" ht="16.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</row>
    <row r="276" spans="1:32" ht="16.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</row>
    <row r="277" spans="1:32" ht="16.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</row>
    <row r="278" spans="1:32" ht="16.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</row>
    <row r="279" spans="1:32" ht="16.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</row>
    <row r="280" spans="1:32" ht="16.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</row>
    <row r="281" spans="1:32" ht="16.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</row>
    <row r="282" spans="1:32" ht="16.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</row>
    <row r="283" spans="1:32" ht="16.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</row>
    <row r="284" spans="1:32" ht="16.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</row>
    <row r="285" spans="1:32" ht="16.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</row>
    <row r="286" spans="1:32" ht="16.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</row>
    <row r="287" spans="1:32" ht="16.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</row>
    <row r="288" spans="1:32" ht="16.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</row>
    <row r="289" spans="1:32" ht="16.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</row>
    <row r="290" spans="1:32" ht="16.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</row>
    <row r="291" spans="1:32" ht="16.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</row>
    <row r="292" spans="1:32" ht="16.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</row>
    <row r="293" spans="1:32" ht="16.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</row>
    <row r="294" spans="1:32" ht="16.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</row>
    <row r="295" spans="1:32" ht="16.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</row>
    <row r="296" spans="1:32" ht="16.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</row>
    <row r="297" spans="1:32" ht="16.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</row>
    <row r="298" spans="1:32" ht="16.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</row>
    <row r="299" spans="1:32" ht="16.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</row>
    <row r="300" spans="1:32" ht="16.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</row>
    <row r="301" spans="1:32" ht="16.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</row>
    <row r="302" spans="1:32" ht="16.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</row>
    <row r="303" spans="1:32" ht="16.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</row>
    <row r="304" spans="1:32" ht="16.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</row>
    <row r="305" spans="1:32" ht="16.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</row>
    <row r="306" spans="1:32" ht="16.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</row>
    <row r="307" spans="1:32" ht="16.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</row>
    <row r="308" spans="1:32" ht="16.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</row>
    <row r="309" spans="1:32" ht="16.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</row>
    <row r="310" spans="1:32" ht="16.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</row>
    <row r="311" spans="1:32" ht="16.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</row>
    <row r="312" spans="1:32" ht="16.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</row>
    <row r="313" spans="1:32" ht="16.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</row>
    <row r="314" spans="1:32" ht="16.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</row>
    <row r="315" spans="1:32" ht="16.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</row>
    <row r="316" spans="1:32" ht="16.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</row>
    <row r="317" spans="1:32" ht="16.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</row>
    <row r="318" spans="1:32" ht="16.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</row>
    <row r="319" spans="1:32" ht="16.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</row>
    <row r="320" spans="1:32" ht="16.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</row>
    <row r="321" spans="1:32" ht="16.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</row>
    <row r="322" spans="1:32" ht="16.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</row>
    <row r="323" spans="1:32" ht="16.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</row>
    <row r="324" spans="1:32" ht="16.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</row>
    <row r="325" spans="1:32" ht="16.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</row>
    <row r="326" spans="1:32" ht="16.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</row>
    <row r="327" spans="1:32" ht="16.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</row>
    <row r="328" spans="1:32" ht="16.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</row>
    <row r="329" spans="1:32" ht="16.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</row>
    <row r="330" spans="1:32" ht="16.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</row>
    <row r="331" spans="1:32" ht="16.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</row>
    <row r="332" spans="1:32" ht="16.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</row>
    <row r="333" spans="1:32" ht="16.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</row>
    <row r="334" spans="1:32" ht="16.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</row>
    <row r="335" spans="1:32" ht="16.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</row>
    <row r="336" spans="1:32" ht="16.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</row>
    <row r="337" spans="1:32" ht="16.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</row>
    <row r="338" spans="1:32" ht="16.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</row>
    <row r="339" spans="1:32" ht="16.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</row>
    <row r="340" spans="1:32" ht="16.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</row>
    <row r="341" spans="1:32" ht="16.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</row>
    <row r="342" spans="1:32" ht="16.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</row>
    <row r="343" spans="1:32" ht="16.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</row>
    <row r="344" spans="1:32" ht="16.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</row>
    <row r="345" spans="1:32" ht="16.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</row>
    <row r="346" spans="1:32" ht="16.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</row>
    <row r="347" spans="1:32" ht="16.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</row>
    <row r="348" spans="1:32" ht="16.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</row>
    <row r="349" spans="1:32" ht="16.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</row>
    <row r="350" spans="1:32" ht="16.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</row>
    <row r="351" spans="1:32" ht="16.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</row>
    <row r="352" spans="1:32" ht="16.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</row>
    <row r="353" spans="1:32" ht="16.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</row>
    <row r="354" spans="1:32" ht="16.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</row>
    <row r="355" spans="1:32" ht="16.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</row>
    <row r="356" spans="1:32" ht="16.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</row>
    <row r="357" spans="1:32" ht="16.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</row>
    <row r="358" spans="1:32" ht="16.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</row>
    <row r="359" spans="1:32" ht="16.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</row>
    <row r="360" spans="1:32" ht="16.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</row>
    <row r="361" spans="1:32" ht="16.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</row>
    <row r="362" spans="1:32" ht="16.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</row>
    <row r="363" spans="1:32" ht="16.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</row>
    <row r="364" spans="1:32" ht="16.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</row>
    <row r="365" spans="1:32" ht="16.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</row>
    <row r="366" spans="1:32" ht="16.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</row>
    <row r="367" spans="1:32" ht="16.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</row>
    <row r="368" spans="1:32" ht="16.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</row>
    <row r="369" spans="1:32" ht="16.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</row>
    <row r="370" spans="1:32" ht="16.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</row>
    <row r="371" spans="1:32" ht="16.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</row>
    <row r="372" spans="1:32" ht="16.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</row>
    <row r="373" spans="1:32" ht="16.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</row>
    <row r="374" spans="1:32" ht="16.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</row>
    <row r="375" spans="1:32" ht="16.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</row>
    <row r="376" spans="1:32" ht="16.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</row>
    <row r="377" spans="1:32" ht="16.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</row>
    <row r="378" spans="1:32" ht="16.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</row>
    <row r="379" spans="1:32" ht="16.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</row>
    <row r="380" spans="1:32" ht="16.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</row>
    <row r="381" spans="1:32" ht="16.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</row>
    <row r="382" spans="1:32" ht="16.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</row>
    <row r="383" spans="1:32" ht="16.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</row>
    <row r="384" spans="1:32" ht="16.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</row>
    <row r="385" spans="1:32" ht="16.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</row>
    <row r="386" spans="1:32" ht="16.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</row>
    <row r="387" spans="1:32" ht="16.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</row>
    <row r="388" spans="1:32" ht="16.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</row>
    <row r="389" spans="1:32" ht="16.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</row>
    <row r="390" spans="1:32" ht="16.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</row>
    <row r="391" spans="1:32" ht="16.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</row>
    <row r="392" spans="1:32" ht="16.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</row>
    <row r="393" spans="1:32" ht="16.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</row>
    <row r="394" spans="1:32" ht="16.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</row>
    <row r="395" spans="1:32" ht="16.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</row>
    <row r="396" spans="1:32" ht="16.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</row>
    <row r="397" spans="1:32" ht="16.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</row>
    <row r="398" spans="1:32" ht="16.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</row>
    <row r="399" spans="1:32" ht="16.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</row>
    <row r="400" spans="1:32" ht="16.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</row>
    <row r="401" spans="1:32" ht="16.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</row>
    <row r="402" spans="1:32" ht="16.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</row>
    <row r="403" spans="1:32" ht="16.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</row>
    <row r="404" spans="1:32" ht="16.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</row>
    <row r="405" spans="1:32" ht="16.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</row>
    <row r="406" spans="1:32" ht="16.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</row>
    <row r="407" spans="1:32" ht="16.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</row>
    <row r="408" spans="1:32" ht="16.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</row>
    <row r="409" spans="1:32" ht="16.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</row>
    <row r="410" spans="1:32" ht="16.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</row>
    <row r="411" spans="1:32" ht="16.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</row>
    <row r="412" spans="1:32" ht="16.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</row>
    <row r="413" spans="1:32" ht="16.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</row>
    <row r="414" spans="1:32" ht="16.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</row>
    <row r="415" spans="1:32" ht="16.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</row>
    <row r="416" spans="1:32" ht="16.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</row>
    <row r="417" spans="1:32" ht="16.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</row>
    <row r="418" spans="1:32" ht="16.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</row>
    <row r="419" spans="1:32" ht="16.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</row>
    <row r="420" spans="1:32" ht="16.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</row>
    <row r="421" spans="1:32" ht="16.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</row>
    <row r="422" spans="1:32" ht="16.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</row>
    <row r="423" spans="1:32" ht="16.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</row>
    <row r="424" spans="1:32" ht="16.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</row>
    <row r="425" spans="1:32" ht="16.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</row>
    <row r="426" spans="1:32" ht="16.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</row>
    <row r="427" spans="1:32" ht="16.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</row>
    <row r="428" spans="1:32" ht="16.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</row>
    <row r="429" spans="1:32" ht="16.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</row>
    <row r="430" spans="1:32" ht="16.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</row>
    <row r="431" spans="1:32" ht="16.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</row>
    <row r="432" spans="1:32" ht="16.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</row>
    <row r="433" spans="1:32" ht="16.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</row>
    <row r="434" spans="1:32" ht="16.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</row>
    <row r="435" spans="1:32" ht="16.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</row>
    <row r="436" spans="1:32" ht="16.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</row>
    <row r="437" spans="1:32" ht="16.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</row>
    <row r="438" spans="1:32" ht="16.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</row>
    <row r="439" spans="1:32" ht="16.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</row>
    <row r="440" spans="1:32" ht="16.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</row>
    <row r="441" spans="1:32" ht="16.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</row>
    <row r="442" spans="1:32" ht="16.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</row>
    <row r="443" spans="1:32" ht="16.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</row>
    <row r="444" spans="1:32" ht="16.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</row>
    <row r="445" spans="1:32" ht="16.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</row>
    <row r="446" spans="1:32" ht="16.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</row>
    <row r="447" spans="1:32" ht="16.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</row>
    <row r="448" spans="1:32" ht="16.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</row>
    <row r="449" spans="1:32" ht="16.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</row>
    <row r="450" spans="1:32" ht="16.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</row>
    <row r="451" spans="1:32" ht="16.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</row>
    <row r="452" spans="1:32" ht="16.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</row>
    <row r="453" spans="1:32" ht="16.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</row>
    <row r="454" spans="1:32" ht="16.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</row>
    <row r="455" spans="1:32" ht="16.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</row>
    <row r="456" spans="1:32" ht="16.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</row>
    <row r="457" spans="1:32" ht="16.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</row>
    <row r="458" spans="1:32" ht="16.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</row>
    <row r="459" spans="1:32" ht="16.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</row>
    <row r="460" spans="1:32" ht="16.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</row>
    <row r="461" spans="1:32" ht="16.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</row>
    <row r="462" spans="1:32" ht="16.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</row>
    <row r="463" spans="1:32" ht="16.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</row>
    <row r="464" spans="1:32" ht="16.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</row>
    <row r="465" spans="1:32" ht="16.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</row>
    <row r="466" spans="1:32" ht="16.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</row>
    <row r="467" spans="1:32" ht="16.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</row>
    <row r="468" spans="1:32" ht="16.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</row>
    <row r="469" spans="1:32" ht="16.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</row>
    <row r="470" spans="1:32" ht="16.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</row>
    <row r="471" spans="1:32" ht="16.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</row>
    <row r="472" spans="1:32" ht="16.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</row>
    <row r="473" spans="1:32" ht="16.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</row>
    <row r="474" spans="1:32" ht="16.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</row>
    <row r="475" spans="1:32" ht="16.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</row>
    <row r="476" spans="1:32" ht="16.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</row>
    <row r="477" spans="1:32" ht="16.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</row>
    <row r="478" spans="1:32" ht="16.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</row>
    <row r="479" spans="1:32" ht="16.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</row>
    <row r="480" spans="1:32" ht="16.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</row>
    <row r="481" spans="1:32" ht="16.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</row>
    <row r="482" spans="1:32" ht="16.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</row>
    <row r="483" spans="1:32" ht="16.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</row>
    <row r="484" spans="1:32" ht="16.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</row>
    <row r="485" spans="1:32" ht="16.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</row>
    <row r="486" spans="1:32" ht="16.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</row>
    <row r="487" spans="1:32" ht="16.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</row>
    <row r="488" spans="1:32" ht="16.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</row>
    <row r="489" spans="1:32" ht="16.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</row>
    <row r="490" spans="1:32" ht="16.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</row>
    <row r="491" spans="1:32" ht="16.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</row>
    <row r="492" spans="1:32" ht="16.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</row>
    <row r="493" spans="1:32" ht="16.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</row>
    <row r="494" spans="1:32" ht="16.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</row>
    <row r="495" spans="1:32" ht="16.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</row>
    <row r="496" spans="1:32" ht="16.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</row>
    <row r="497" spans="1:32" ht="16.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</row>
    <row r="498" spans="1:32" ht="16.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</row>
    <row r="499" spans="1:32" ht="16.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</row>
    <row r="500" spans="1:32" ht="16.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</row>
    <row r="501" spans="1:32" ht="15" customHeight="1">
      <c r="W501" s="75"/>
      <c r="X501" s="75"/>
      <c r="Y501" s="75"/>
      <c r="Z501" s="75"/>
      <c r="AA501" s="75"/>
      <c r="AB501" s="75"/>
    </row>
  </sheetData>
  <sheetProtection password="DF07" sheet="1" objects="1" scenarios="1" selectLockedCells="1"/>
  <dataConsolidate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AC500"/>
  <sheetViews>
    <sheetView showGridLines="0" topLeftCell="H19" zoomScale="70" zoomScaleNormal="70" workbookViewId="0">
      <selection activeCell="M7" sqref="M7"/>
    </sheetView>
  </sheetViews>
  <sheetFormatPr baseColWidth="10" defaultColWidth="17.28515625" defaultRowHeight="15" customHeight="1" outlineLevelRow="1" outlineLevelCol="1"/>
  <cols>
    <col min="1" max="1" width="19.7109375" style="32" hidden="1" customWidth="1" outlineLevel="1"/>
    <col min="2" max="4" width="16.28515625" style="32" hidden="1" customWidth="1" outlineLevel="1"/>
    <col min="5" max="5" width="12.42578125" style="32" hidden="1" customWidth="1" outlineLevel="1"/>
    <col min="6" max="6" width="17.85546875" style="32" hidden="1" customWidth="1" outlineLevel="1"/>
    <col min="7" max="7" width="19.85546875" style="32" hidden="1" customWidth="1" outlineLevel="1"/>
    <col min="8" max="8" width="3" style="32" customWidth="1" collapsed="1"/>
    <col min="9" max="9" width="23.28515625" style="32" customWidth="1"/>
    <col min="10" max="10" width="15" style="32" customWidth="1"/>
    <col min="11" max="11" width="24.42578125" style="32" customWidth="1"/>
    <col min="12" max="12" width="28.140625" style="32" bestFit="1" customWidth="1"/>
    <col min="13" max="13" width="19.5703125" style="32" customWidth="1"/>
    <col min="14" max="14" width="20.140625" style="32" customWidth="1"/>
    <col min="15" max="15" width="3" style="32" hidden="1" customWidth="1"/>
    <col min="16" max="16" width="13.85546875" style="32" hidden="1" customWidth="1"/>
    <col min="17" max="17" width="16.140625" style="32" hidden="1" customWidth="1"/>
    <col min="18" max="18" width="16.42578125" style="32" hidden="1" customWidth="1"/>
    <col min="19" max="19" width="3" style="32" hidden="1" customWidth="1" collapsed="1"/>
    <col min="20" max="20" width="14.140625" style="32" hidden="1" customWidth="1"/>
    <col min="21" max="21" width="15.7109375" style="32" hidden="1" customWidth="1"/>
    <col min="22" max="22" width="16.7109375" style="32" hidden="1" customWidth="1"/>
    <col min="23" max="24" width="16.42578125" style="32" hidden="1" customWidth="1"/>
    <col min="25" max="25" width="15.85546875" style="32" hidden="1" customWidth="1"/>
    <col min="26" max="26" width="16.85546875" style="32" hidden="1" customWidth="1"/>
    <col min="27" max="27" width="17.42578125" style="32" hidden="1" customWidth="1"/>
    <col min="28" max="29" width="17.28515625" style="32" hidden="1" customWidth="1"/>
    <col min="30" max="16384" width="17.28515625" style="32"/>
  </cols>
  <sheetData>
    <row r="1" spans="1:28" ht="16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3"/>
      <c r="O2" s="34"/>
      <c r="P2" s="35"/>
      <c r="Q2" s="35"/>
      <c r="R2" s="36"/>
      <c r="S2" s="36"/>
      <c r="T2" s="35"/>
      <c r="U2" s="37"/>
      <c r="V2" s="31"/>
      <c r="W2" s="31"/>
      <c r="X2" s="31"/>
      <c r="Y2" s="31"/>
      <c r="Z2" s="31"/>
      <c r="AA2" s="31"/>
      <c r="AB2" s="31"/>
    </row>
    <row r="3" spans="1:28" ht="29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5"/>
      <c r="R3" s="36"/>
      <c r="S3" s="31"/>
      <c r="T3" s="38"/>
      <c r="U3" s="39"/>
      <c r="V3" s="40"/>
      <c r="W3" s="31"/>
      <c r="X3" s="31"/>
      <c r="Y3" s="31"/>
      <c r="Z3" s="31"/>
      <c r="AA3" s="31"/>
      <c r="AB3" s="31"/>
    </row>
    <row r="4" spans="1:28" ht="33" customHeight="1">
      <c r="A4" s="31"/>
      <c r="B4" s="31"/>
      <c r="C4" s="31"/>
      <c r="D4" s="31"/>
      <c r="E4" s="31"/>
      <c r="F4" s="31"/>
      <c r="G4" s="31"/>
      <c r="H4" s="31"/>
      <c r="I4" s="156" t="s">
        <v>90</v>
      </c>
      <c r="J4" s="123"/>
      <c r="K4" s="123"/>
      <c r="L4" s="122"/>
      <c r="M4" s="122"/>
      <c r="N4" s="124"/>
      <c r="O4" s="31"/>
      <c r="P4" s="31"/>
      <c r="Q4" s="35"/>
      <c r="R4" s="36"/>
      <c r="S4" s="31"/>
      <c r="T4" s="38"/>
      <c r="U4" s="31"/>
      <c r="V4" s="31"/>
      <c r="W4" s="31"/>
      <c r="X4" s="31"/>
      <c r="Y4" s="31"/>
      <c r="Z4" s="31"/>
      <c r="AA4" s="31"/>
      <c r="AB4" s="31"/>
    </row>
    <row r="5" spans="1:28" ht="16.5" customHeight="1">
      <c r="A5" s="31"/>
      <c r="B5" s="31"/>
      <c r="C5" s="31"/>
      <c r="D5" s="31"/>
      <c r="E5" s="31"/>
      <c r="F5" s="41" t="s">
        <v>47</v>
      </c>
      <c r="G5" s="42">
        <f>+Carga!C9</f>
        <v>25110000</v>
      </c>
      <c r="H5" s="31"/>
      <c r="I5" s="31"/>
      <c r="J5" s="31"/>
      <c r="K5" s="31"/>
      <c r="L5" s="31"/>
      <c r="M5" s="31"/>
      <c r="N5" s="31"/>
      <c r="O5" s="31"/>
      <c r="P5" s="43" t="s">
        <v>48</v>
      </c>
      <c r="Q5" s="44">
        <f>+J11</f>
        <v>44789</v>
      </c>
      <c r="R5" s="36"/>
      <c r="S5" s="31"/>
      <c r="T5" s="38"/>
      <c r="U5" s="31"/>
      <c r="V5" s="31"/>
      <c r="W5" s="31"/>
      <c r="X5" s="31"/>
      <c r="Y5" s="31"/>
      <c r="Z5" s="31"/>
      <c r="AA5" s="31"/>
      <c r="AB5" s="31"/>
    </row>
    <row r="6" spans="1:28" ht="16.5" customHeight="1">
      <c r="A6" s="31"/>
      <c r="B6" s="31"/>
      <c r="C6" s="31"/>
      <c r="D6" s="31"/>
      <c r="E6" s="31"/>
      <c r="F6" s="31"/>
      <c r="G6" s="31"/>
      <c r="H6" s="31"/>
      <c r="I6" s="41" t="s">
        <v>49</v>
      </c>
      <c r="J6" s="42" t="str">
        <f>+Carga!H9</f>
        <v>A-sf(arg)</v>
      </c>
      <c r="K6" s="31"/>
      <c r="L6" s="45" t="s">
        <v>50</v>
      </c>
      <c r="M6" s="118">
        <f>+'Calculadora VDFA'!M6</f>
        <v>0.61</v>
      </c>
      <c r="N6" s="31"/>
      <c r="O6" s="31"/>
      <c r="P6" s="46"/>
      <c r="Q6" s="46"/>
      <c r="R6" s="46"/>
      <c r="S6" s="31"/>
      <c r="T6" s="38"/>
      <c r="U6" s="31"/>
      <c r="V6" s="31"/>
      <c r="W6" s="31"/>
      <c r="X6" s="31"/>
      <c r="Y6" s="31"/>
      <c r="Z6" s="31"/>
      <c r="AA6" s="31"/>
      <c r="AB6" s="31"/>
    </row>
    <row r="7" spans="1:28" ht="16.5" customHeight="1">
      <c r="A7" s="31"/>
      <c r="B7" s="31"/>
      <c r="C7" s="31"/>
      <c r="D7" s="31"/>
      <c r="E7" s="31"/>
      <c r="F7" s="31"/>
      <c r="G7" s="31"/>
      <c r="H7" s="31"/>
      <c r="I7" s="41" t="s">
        <v>9</v>
      </c>
      <c r="J7" s="50">
        <f>+Carga!D9</f>
        <v>0.51</v>
      </c>
      <c r="K7" s="31"/>
      <c r="L7" s="45" t="s">
        <v>51</v>
      </c>
      <c r="M7" s="114">
        <v>1</v>
      </c>
      <c r="N7" s="51" t="s">
        <v>52</v>
      </c>
      <c r="O7" s="52"/>
      <c r="P7" s="31"/>
      <c r="Q7" s="53"/>
      <c r="R7" s="36"/>
      <c r="S7" s="31"/>
      <c r="T7" s="31"/>
      <c r="U7" s="37"/>
      <c r="V7" s="31"/>
      <c r="W7" s="31"/>
      <c r="X7" s="31"/>
      <c r="Y7" s="31"/>
      <c r="Z7" s="31"/>
      <c r="AA7" s="31"/>
      <c r="AB7" s="31"/>
    </row>
    <row r="8" spans="1:28" ht="16.5" customHeight="1">
      <c r="A8" s="31"/>
      <c r="B8" s="31"/>
      <c r="C8" s="31"/>
      <c r="D8" s="31"/>
      <c r="E8" s="31"/>
      <c r="F8" s="31"/>
      <c r="G8" s="31"/>
      <c r="H8" s="31"/>
      <c r="I8" s="41" t="s">
        <v>11</v>
      </c>
      <c r="J8" s="50">
        <f>+Carga!F9</f>
        <v>0.63</v>
      </c>
      <c r="K8" s="31"/>
      <c r="L8" s="54" t="s">
        <v>53</v>
      </c>
      <c r="M8" s="55">
        <f>(((1+M7)^(30/365))-1)*365/30</f>
        <v>0.71327218421070915</v>
      </c>
      <c r="N8" s="51" t="s">
        <v>52</v>
      </c>
      <c r="O8" s="56"/>
      <c r="P8" s="31"/>
      <c r="Q8" s="53"/>
      <c r="R8" s="36"/>
      <c r="S8" s="31"/>
      <c r="T8" s="31"/>
      <c r="U8" s="31"/>
      <c r="V8" s="57"/>
      <c r="W8" s="31"/>
      <c r="X8" s="31"/>
      <c r="Y8" s="31"/>
      <c r="Z8" s="31"/>
      <c r="AA8" s="31"/>
      <c r="AB8" s="31"/>
    </row>
    <row r="9" spans="1:28" ht="16.5" customHeight="1">
      <c r="A9" s="31"/>
      <c r="B9" s="31"/>
      <c r="C9" s="31"/>
      <c r="D9" s="31"/>
      <c r="E9" s="31"/>
      <c r="F9" s="31"/>
      <c r="G9" s="31"/>
      <c r="H9" s="31"/>
      <c r="I9" s="54" t="s">
        <v>10</v>
      </c>
      <c r="J9" s="58">
        <f>+Carga!E9*10000</f>
        <v>200</v>
      </c>
      <c r="K9" s="31"/>
      <c r="L9" s="59" t="s">
        <v>54</v>
      </c>
      <c r="M9" s="60">
        <f>(XNPV(M7,AA17:AA35,W17:W35)/AB17)*100</f>
        <v>72.197567338102601</v>
      </c>
      <c r="N9" s="31"/>
      <c r="O9" s="31"/>
      <c r="P9" s="61" t="s">
        <v>55</v>
      </c>
      <c r="Q9" s="115">
        <f>+Q54</f>
        <v>18920004.931779016</v>
      </c>
      <c r="R9" s="115"/>
      <c r="S9" s="31"/>
      <c r="T9" s="31"/>
      <c r="U9" s="31"/>
      <c r="V9" s="66"/>
      <c r="W9" s="31"/>
      <c r="X9" s="31"/>
      <c r="Y9" s="31"/>
      <c r="Z9" s="31"/>
      <c r="AA9" s="31"/>
      <c r="AB9" s="31"/>
    </row>
    <row r="10" spans="1:28" ht="16.5" customHeight="1">
      <c r="A10" s="31"/>
      <c r="B10" s="31"/>
      <c r="C10" s="31"/>
      <c r="D10" s="31"/>
      <c r="E10" s="31"/>
      <c r="F10" s="41" t="s">
        <v>6</v>
      </c>
      <c r="G10" s="67">
        <f>+Carga!F5</f>
        <v>44773</v>
      </c>
      <c r="H10" s="31"/>
      <c r="I10" s="31"/>
      <c r="J10" s="31"/>
      <c r="K10" s="31"/>
      <c r="L10" s="31"/>
      <c r="M10" s="31"/>
      <c r="N10" s="31"/>
      <c r="O10" s="31"/>
      <c r="P10" s="68"/>
      <c r="Q10" s="69"/>
      <c r="R10" s="36"/>
      <c r="S10" s="31"/>
      <c r="T10" s="31"/>
      <c r="U10" s="70"/>
      <c r="V10" s="66"/>
      <c r="W10" s="31"/>
      <c r="X10" s="31"/>
      <c r="Y10" s="31"/>
      <c r="Z10" s="31"/>
      <c r="AA10" s="31"/>
      <c r="AB10" s="31"/>
    </row>
    <row r="11" spans="1:28" ht="16.5" customHeight="1">
      <c r="A11" s="31"/>
      <c r="B11" s="31"/>
      <c r="C11" s="31"/>
      <c r="D11" s="31"/>
      <c r="E11" s="31"/>
      <c r="F11" s="31"/>
      <c r="G11" s="31"/>
      <c r="H11" s="31"/>
      <c r="I11" s="41" t="s">
        <v>56</v>
      </c>
      <c r="J11" s="71">
        <f>+'Flujos de fondo MIN'!B4</f>
        <v>44789</v>
      </c>
      <c r="K11" s="31"/>
      <c r="L11" s="54" t="s">
        <v>57</v>
      </c>
      <c r="M11" s="72">
        <f>XIRR(M17:M53,I17:I53)</f>
        <v>1.0672101140022281</v>
      </c>
      <c r="N11" s="51" t="s">
        <v>58</v>
      </c>
      <c r="O11" s="31"/>
      <c r="P11" s="31"/>
      <c r="Q11" s="69"/>
      <c r="R11" s="73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28" ht="16.5" customHeight="1">
      <c r="A12" s="31"/>
      <c r="B12" s="31"/>
      <c r="C12" s="31"/>
      <c r="D12" s="31"/>
      <c r="E12" s="31"/>
      <c r="F12" s="31"/>
      <c r="G12" s="31"/>
      <c r="H12" s="31"/>
      <c r="I12" s="41" t="s">
        <v>59</v>
      </c>
      <c r="J12" s="74">
        <f>+R56</f>
        <v>15.726037568879212</v>
      </c>
      <c r="K12" s="31"/>
      <c r="L12" s="54" t="s">
        <v>75</v>
      </c>
      <c r="M12" s="72">
        <f>(((1+M11)^(30/365))-1)*365/30</f>
        <v>0.74831022353900578</v>
      </c>
      <c r="N12" s="51" t="s">
        <v>58</v>
      </c>
      <c r="O12" s="31"/>
      <c r="P12" s="39"/>
      <c r="Q12" s="35"/>
      <c r="R12" s="36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28" ht="16.5" customHeight="1">
      <c r="A13" s="75"/>
      <c r="B13" s="75"/>
      <c r="C13" s="31"/>
      <c r="D13" s="75"/>
      <c r="E13" s="76"/>
      <c r="F13" s="76"/>
      <c r="G13" s="75"/>
      <c r="H13" s="75"/>
      <c r="I13" s="75"/>
      <c r="J13" s="75"/>
      <c r="K13" s="75"/>
      <c r="L13" s="77" t="s">
        <v>60</v>
      </c>
      <c r="M13" s="78">
        <f>(M12-M6)*10000</f>
        <v>1383.102235390058</v>
      </c>
      <c r="N13" s="75"/>
      <c r="O13" s="75"/>
      <c r="P13" s="75"/>
      <c r="Q13" s="79"/>
      <c r="R13" s="75"/>
      <c r="S13" s="80"/>
      <c r="T13" s="75"/>
      <c r="U13" s="31"/>
      <c r="V13" s="75"/>
      <c r="W13" s="81" t="s">
        <v>61</v>
      </c>
      <c r="X13" s="75"/>
      <c r="Y13" s="75"/>
      <c r="Z13" s="75"/>
      <c r="AA13" s="75"/>
      <c r="AB13" s="75"/>
    </row>
    <row r="14" spans="1:28" ht="17.25" customHeight="1" thickBot="1">
      <c r="A14" s="75"/>
      <c r="B14" s="75"/>
      <c r="C14" s="75"/>
      <c r="D14" s="82"/>
      <c r="E14" s="75"/>
      <c r="F14" s="75"/>
      <c r="G14" s="75"/>
      <c r="H14" s="75"/>
      <c r="I14" s="75"/>
      <c r="J14" s="75"/>
      <c r="K14" s="75"/>
      <c r="L14" s="75"/>
      <c r="M14" s="125"/>
      <c r="N14" s="75"/>
      <c r="O14" s="75"/>
      <c r="P14" s="75"/>
      <c r="Q14" s="75"/>
      <c r="R14" s="75"/>
      <c r="S14" s="31"/>
      <c r="T14" s="31"/>
      <c r="U14" s="31"/>
      <c r="V14" s="75"/>
      <c r="W14" s="75"/>
      <c r="X14" s="75"/>
      <c r="Y14" s="75"/>
      <c r="Z14" s="75"/>
      <c r="AA14" s="75"/>
      <c r="AB14" s="75"/>
    </row>
    <row r="15" spans="1:28" ht="15.75" thickBot="1">
      <c r="A15" s="179" t="s">
        <v>62</v>
      </c>
      <c r="B15" s="181" t="s">
        <v>63</v>
      </c>
      <c r="C15" s="182"/>
      <c r="D15" s="182"/>
      <c r="E15" s="182"/>
      <c r="F15" s="182"/>
      <c r="G15" s="183"/>
      <c r="H15" s="83"/>
      <c r="I15" s="173" t="s">
        <v>14</v>
      </c>
      <c r="J15" s="174"/>
      <c r="K15" s="174"/>
      <c r="L15" s="174"/>
      <c r="M15" s="174"/>
      <c r="N15" s="175"/>
      <c r="O15" s="75"/>
      <c r="P15" s="84"/>
      <c r="Q15" s="75"/>
      <c r="R15" s="75"/>
      <c r="S15" s="75"/>
      <c r="T15" s="75"/>
      <c r="U15" s="31"/>
      <c r="V15" s="75"/>
      <c r="W15" s="189" t="s">
        <v>14</v>
      </c>
      <c r="X15" s="174"/>
      <c r="Y15" s="190"/>
      <c r="Z15" s="190"/>
      <c r="AA15" s="190"/>
      <c r="AB15" s="191"/>
    </row>
    <row r="16" spans="1:28" ht="15.75" thickBot="1">
      <c r="A16" s="180"/>
      <c r="B16" s="85" t="s">
        <v>64</v>
      </c>
      <c r="C16" s="83" t="s">
        <v>65</v>
      </c>
      <c r="D16" s="184" t="s">
        <v>66</v>
      </c>
      <c r="E16" s="186" t="s">
        <v>67</v>
      </c>
      <c r="F16" s="188" t="s">
        <v>68</v>
      </c>
      <c r="G16" s="86" t="s">
        <v>69</v>
      </c>
      <c r="H16" s="83"/>
      <c r="I16" s="87" t="s">
        <v>24</v>
      </c>
      <c r="J16" s="87" t="s">
        <v>70</v>
      </c>
      <c r="K16" s="87" t="s">
        <v>71</v>
      </c>
      <c r="L16" s="87" t="s">
        <v>72</v>
      </c>
      <c r="M16" s="87" t="s">
        <v>45</v>
      </c>
      <c r="N16" s="87" t="s">
        <v>73</v>
      </c>
      <c r="O16" s="75"/>
      <c r="P16" s="88" t="s">
        <v>32</v>
      </c>
      <c r="Q16" s="89" t="s">
        <v>34</v>
      </c>
      <c r="R16" s="89" t="s">
        <v>18</v>
      </c>
      <c r="S16" s="75"/>
      <c r="T16" s="75"/>
      <c r="U16" s="89"/>
      <c r="V16" s="75"/>
      <c r="W16" s="128" t="s">
        <v>24</v>
      </c>
      <c r="X16" s="131" t="s">
        <v>70</v>
      </c>
      <c r="Y16" s="128" t="s">
        <v>71</v>
      </c>
      <c r="Z16" s="141" t="s">
        <v>72</v>
      </c>
      <c r="AA16" s="128" t="s">
        <v>45</v>
      </c>
      <c r="AB16" s="128" t="s">
        <v>73</v>
      </c>
    </row>
    <row r="17" spans="1:28">
      <c r="A17" s="90"/>
      <c r="B17" s="91">
        <f>Carga!F5</f>
        <v>44773</v>
      </c>
      <c r="C17" s="92"/>
      <c r="D17" s="185"/>
      <c r="E17" s="187"/>
      <c r="F17" s="178"/>
      <c r="G17" s="93">
        <v>0</v>
      </c>
      <c r="H17" s="94"/>
      <c r="I17" s="120">
        <f>+Q5</f>
        <v>44789</v>
      </c>
      <c r="J17" s="95"/>
      <c r="K17" s="96"/>
      <c r="L17" s="96"/>
      <c r="M17" s="97">
        <f>-N17*M9/100</f>
        <v>-18128809.158597562</v>
      </c>
      <c r="N17" s="98">
        <f>+G5</f>
        <v>25110000</v>
      </c>
      <c r="O17" s="75"/>
      <c r="P17" s="99">
        <f t="shared" ref="P17:P53" si="0">+I17-$Q$5</f>
        <v>0</v>
      </c>
      <c r="Q17" s="80"/>
      <c r="R17" s="80">
        <f t="shared" ref="R17:R53" si="1">+P17*Q17</f>
        <v>0</v>
      </c>
      <c r="S17" s="75"/>
      <c r="T17" s="75"/>
      <c r="U17" s="94"/>
      <c r="V17" s="75"/>
      <c r="W17" s="129">
        <v>44789</v>
      </c>
      <c r="X17" s="132"/>
      <c r="Y17" s="136"/>
      <c r="Z17" s="136"/>
      <c r="AA17" s="137">
        <v>0</v>
      </c>
      <c r="AB17" s="139">
        <v>25110000</v>
      </c>
    </row>
    <row r="18" spans="1:28">
      <c r="A18" s="100">
        <f>+'Calculadora VDFA'!A18-'Calculadora VDFA'!M18</f>
        <v>0</v>
      </c>
      <c r="B18" s="91">
        <f>+Carga!I5</f>
        <v>44773</v>
      </c>
      <c r="C18" s="101">
        <f>+Carga!P5</f>
        <v>30</v>
      </c>
      <c r="D18" s="102">
        <f>+M6</f>
        <v>0.61</v>
      </c>
      <c r="E18" s="82">
        <f t="shared" ref="E18:E53" si="2">+MAX($J$7,MIN($J$8,$D18+$J$9/10000))</f>
        <v>0.63</v>
      </c>
      <c r="F18" s="94">
        <f t="shared" ref="F18:F53" si="3">+((E18*N17)/360)*$C18</f>
        <v>1318275</v>
      </c>
      <c r="G18" s="93">
        <f t="shared" ref="G18:G53" si="4">+G17+F18-L18</f>
        <v>1318275</v>
      </c>
      <c r="H18" s="94"/>
      <c r="I18" s="121">
        <f>+'Flujos de fondo MIN'!B5</f>
        <v>44824</v>
      </c>
      <c r="J18" s="104">
        <f>+E18</f>
        <v>0.63</v>
      </c>
      <c r="K18" s="105">
        <f>+MIN(A18-L18,N17)</f>
        <v>0</v>
      </c>
      <c r="L18" s="105">
        <f>+MIN(A18,F18+G17)</f>
        <v>0</v>
      </c>
      <c r="M18" s="105">
        <f t="shared" ref="M18:M53" si="5">+L18+K18</f>
        <v>0</v>
      </c>
      <c r="N18" s="106">
        <f t="shared" ref="N18:N53" si="6">+N17-K18</f>
        <v>25110000</v>
      </c>
      <c r="O18" s="75"/>
      <c r="P18" s="99">
        <f t="shared" si="0"/>
        <v>35</v>
      </c>
      <c r="Q18" s="80">
        <f t="shared" ref="Q18:Q39" si="7">+M18/(1+$M$7)^(P18/365)</f>
        <v>0</v>
      </c>
      <c r="R18" s="80">
        <f t="shared" si="1"/>
        <v>0</v>
      </c>
      <c r="S18" s="75"/>
      <c r="T18" s="75"/>
      <c r="U18" s="94"/>
      <c r="V18" s="75"/>
      <c r="W18" s="145">
        <v>44824</v>
      </c>
      <c r="X18" s="133">
        <v>0.51</v>
      </c>
      <c r="Y18" s="137">
        <v>0</v>
      </c>
      <c r="Z18" s="137">
        <v>0</v>
      </c>
      <c r="AA18" s="137">
        <v>0</v>
      </c>
      <c r="AB18" s="140">
        <v>25110000</v>
      </c>
    </row>
    <row r="19" spans="1:28" s="148" customFormat="1">
      <c r="A19" s="100">
        <f>+'Calculadora VDFA'!A19-'Calculadora VDFA'!M19</f>
        <v>0</v>
      </c>
      <c r="B19" s="91">
        <f>+Carga!I6</f>
        <v>44805</v>
      </c>
      <c r="C19" s="101">
        <f>+Carga!P6</f>
        <v>30</v>
      </c>
      <c r="D19" s="102">
        <f>+IF(B19&lt;=$Q$5+C19,Carga!M6,$M$6)</f>
        <v>0.61</v>
      </c>
      <c r="E19" s="82">
        <f t="shared" si="2"/>
        <v>0.63</v>
      </c>
      <c r="F19" s="94">
        <f>+((E19*N18)/360)*$C19</f>
        <v>1318275</v>
      </c>
      <c r="G19" s="93">
        <f>+G18+F19-L19</f>
        <v>2636550</v>
      </c>
      <c r="H19" s="94"/>
      <c r="I19" s="121">
        <f>+'Flujos de fondo MIN'!B6</f>
        <v>44854</v>
      </c>
      <c r="J19" s="104">
        <f t="shared" ref="J19:J53" si="8">+E19</f>
        <v>0.63</v>
      </c>
      <c r="K19" s="105">
        <f t="shared" ref="K19:K53" si="9">+MIN(A19-L19,N18)</f>
        <v>0</v>
      </c>
      <c r="L19" s="105">
        <f t="shared" ref="L19:L53" si="10">+MIN(A19,F19+G18)</f>
        <v>0</v>
      </c>
      <c r="M19" s="105">
        <f t="shared" si="5"/>
        <v>0</v>
      </c>
      <c r="N19" s="106">
        <f>+N18-K19</f>
        <v>25110000</v>
      </c>
      <c r="O19" s="75"/>
      <c r="P19" s="99">
        <f t="shared" si="0"/>
        <v>65</v>
      </c>
      <c r="Q19" s="80">
        <f t="shared" si="7"/>
        <v>0</v>
      </c>
      <c r="R19" s="80">
        <f t="shared" si="1"/>
        <v>0</v>
      </c>
      <c r="S19" s="75"/>
      <c r="T19" s="75"/>
      <c r="U19" s="94"/>
      <c r="V19" s="75"/>
      <c r="W19" s="145">
        <v>44854</v>
      </c>
      <c r="X19" s="133">
        <v>0.51</v>
      </c>
      <c r="Y19" s="137">
        <v>0</v>
      </c>
      <c r="Z19" s="137">
        <v>0</v>
      </c>
      <c r="AA19" s="137">
        <v>0</v>
      </c>
      <c r="AB19" s="140">
        <v>25110000</v>
      </c>
    </row>
    <row r="20" spans="1:28" s="148" customFormat="1">
      <c r="A20" s="100">
        <f>+'Calculadora VDFA'!A20-'Calculadora VDFA'!M20</f>
        <v>0</v>
      </c>
      <c r="B20" s="91">
        <f>+Carga!I7</f>
        <v>44835</v>
      </c>
      <c r="C20" s="101">
        <f>+Carga!P7</f>
        <v>30</v>
      </c>
      <c r="D20" s="102">
        <f>+IF(B20&lt;=$Q$5+C20,Carga!M7,$M$6)</f>
        <v>0.61</v>
      </c>
      <c r="E20" s="82">
        <f t="shared" si="2"/>
        <v>0.63</v>
      </c>
      <c r="F20" s="94">
        <f t="shared" si="3"/>
        <v>1318275</v>
      </c>
      <c r="G20" s="93">
        <f t="shared" si="4"/>
        <v>3954825</v>
      </c>
      <c r="H20" s="94"/>
      <c r="I20" s="121">
        <f>+'Flujos de fondo MIN'!B7</f>
        <v>44886</v>
      </c>
      <c r="J20" s="104">
        <f t="shared" si="8"/>
        <v>0.63</v>
      </c>
      <c r="K20" s="105">
        <f t="shared" si="9"/>
        <v>0</v>
      </c>
      <c r="L20" s="105">
        <f t="shared" si="10"/>
        <v>0</v>
      </c>
      <c r="M20" s="105">
        <f t="shared" si="5"/>
        <v>0</v>
      </c>
      <c r="N20" s="106">
        <f t="shared" si="6"/>
        <v>25110000</v>
      </c>
      <c r="O20" s="75"/>
      <c r="P20" s="99">
        <f t="shared" si="0"/>
        <v>97</v>
      </c>
      <c r="Q20" s="80">
        <f t="shared" si="7"/>
        <v>0</v>
      </c>
      <c r="R20" s="80">
        <f t="shared" si="1"/>
        <v>0</v>
      </c>
      <c r="S20" s="75"/>
      <c r="T20" s="75"/>
      <c r="U20" s="94"/>
      <c r="V20" s="75"/>
      <c r="W20" s="145">
        <v>44886</v>
      </c>
      <c r="X20" s="133">
        <v>0.51</v>
      </c>
      <c r="Y20" s="137">
        <v>0</v>
      </c>
      <c r="Z20" s="137">
        <v>0</v>
      </c>
      <c r="AA20" s="137">
        <v>0</v>
      </c>
      <c r="AB20" s="140">
        <v>25110000</v>
      </c>
    </row>
    <row r="21" spans="1:28" s="148" customFormat="1">
      <c r="A21" s="100">
        <f>+'Calculadora VDFA'!A21-'Calculadora VDFA'!M21</f>
        <v>0</v>
      </c>
      <c r="B21" s="91">
        <f>+Carga!I8</f>
        <v>44866</v>
      </c>
      <c r="C21" s="101">
        <f>+Carga!P8</f>
        <v>30</v>
      </c>
      <c r="D21" s="102">
        <f>+IF(B21&lt;=$Q$5+C21,Carga!M8,$M$6)</f>
        <v>0.61</v>
      </c>
      <c r="E21" s="82">
        <f t="shared" si="2"/>
        <v>0.63</v>
      </c>
      <c r="F21" s="94">
        <f t="shared" si="3"/>
        <v>1318275</v>
      </c>
      <c r="G21" s="93">
        <f t="shared" si="4"/>
        <v>5273100</v>
      </c>
      <c r="H21" s="94"/>
      <c r="I21" s="121">
        <f>+'Flujos de fondo MIN'!B8</f>
        <v>44915</v>
      </c>
      <c r="J21" s="104">
        <f t="shared" si="8"/>
        <v>0.63</v>
      </c>
      <c r="K21" s="105">
        <f t="shared" si="9"/>
        <v>0</v>
      </c>
      <c r="L21" s="105">
        <f t="shared" si="10"/>
        <v>0</v>
      </c>
      <c r="M21" s="105">
        <f t="shared" si="5"/>
        <v>0</v>
      </c>
      <c r="N21" s="106">
        <f t="shared" si="6"/>
        <v>25110000</v>
      </c>
      <c r="O21" s="75"/>
      <c r="P21" s="99">
        <f t="shared" si="0"/>
        <v>126</v>
      </c>
      <c r="Q21" s="80">
        <f t="shared" si="7"/>
        <v>0</v>
      </c>
      <c r="R21" s="80">
        <f t="shared" si="1"/>
        <v>0</v>
      </c>
      <c r="S21" s="75"/>
      <c r="T21" s="75"/>
      <c r="U21" s="94"/>
      <c r="V21" s="75"/>
      <c r="W21" s="145">
        <v>44915</v>
      </c>
      <c r="X21" s="133">
        <v>0.51</v>
      </c>
      <c r="Y21" s="137">
        <v>0</v>
      </c>
      <c r="Z21" s="137">
        <v>0</v>
      </c>
      <c r="AA21" s="137">
        <v>0</v>
      </c>
      <c r="AB21" s="140">
        <v>25110000</v>
      </c>
    </row>
    <row r="22" spans="1:28" s="148" customFormat="1">
      <c r="A22" s="100">
        <f>+'Calculadora VDFA'!A22-'Calculadora VDFA'!M22</f>
        <v>0</v>
      </c>
      <c r="B22" s="91">
        <f>+Carga!I9</f>
        <v>44896</v>
      </c>
      <c r="C22" s="101">
        <f>+Carga!P9</f>
        <v>30</v>
      </c>
      <c r="D22" s="102">
        <f>+IF(B22&lt;=$Q$5+C22,Carga!M9,$M$6)</f>
        <v>0.61</v>
      </c>
      <c r="E22" s="82">
        <f t="shared" si="2"/>
        <v>0.63</v>
      </c>
      <c r="F22" s="94">
        <f t="shared" si="3"/>
        <v>1318275</v>
      </c>
      <c r="G22" s="93">
        <f t="shared" si="4"/>
        <v>6591375</v>
      </c>
      <c r="H22" s="94"/>
      <c r="I22" s="121">
        <f>+'Flujos de fondo MIN'!B9</f>
        <v>44946</v>
      </c>
      <c r="J22" s="104">
        <f t="shared" si="8"/>
        <v>0.63</v>
      </c>
      <c r="K22" s="105">
        <f t="shared" si="9"/>
        <v>0</v>
      </c>
      <c r="L22" s="105">
        <f t="shared" si="10"/>
        <v>0</v>
      </c>
      <c r="M22" s="105">
        <f t="shared" si="5"/>
        <v>0</v>
      </c>
      <c r="N22" s="106">
        <f t="shared" si="6"/>
        <v>25110000</v>
      </c>
      <c r="O22" s="75"/>
      <c r="P22" s="99">
        <f t="shared" si="0"/>
        <v>157</v>
      </c>
      <c r="Q22" s="80">
        <f t="shared" si="7"/>
        <v>0</v>
      </c>
      <c r="R22" s="80">
        <f t="shared" si="1"/>
        <v>0</v>
      </c>
      <c r="S22" s="75"/>
      <c r="T22" s="75"/>
      <c r="U22" s="94"/>
      <c r="V22" s="75"/>
      <c r="W22" s="145">
        <v>44946</v>
      </c>
      <c r="X22" s="133">
        <v>0.51</v>
      </c>
      <c r="Y22" s="137">
        <v>0</v>
      </c>
      <c r="Z22" s="137">
        <v>0</v>
      </c>
      <c r="AA22" s="137">
        <v>0</v>
      </c>
      <c r="AB22" s="140">
        <v>25110000</v>
      </c>
    </row>
    <row r="23" spans="1:28" s="148" customFormat="1">
      <c r="A23" s="100">
        <f>+'Calculadora VDFA'!A23-'Calculadora VDFA'!M23</f>
        <v>0</v>
      </c>
      <c r="B23" s="91">
        <f>+Carga!I10</f>
        <v>44927</v>
      </c>
      <c r="C23" s="101">
        <f>+Carga!P10</f>
        <v>30</v>
      </c>
      <c r="D23" s="102">
        <f>+IF(B23&lt;=$Q$5+C23,Carga!M10,$M$6)</f>
        <v>0.61</v>
      </c>
      <c r="E23" s="82">
        <f t="shared" si="2"/>
        <v>0.63</v>
      </c>
      <c r="F23" s="94">
        <f t="shared" si="3"/>
        <v>1318275</v>
      </c>
      <c r="G23" s="93">
        <f t="shared" si="4"/>
        <v>7909650</v>
      </c>
      <c r="H23" s="94"/>
      <c r="I23" s="121">
        <f>+'Flujos de fondo MIN'!B10</f>
        <v>44977</v>
      </c>
      <c r="J23" s="104">
        <f t="shared" si="8"/>
        <v>0.63</v>
      </c>
      <c r="K23" s="105">
        <f t="shared" si="9"/>
        <v>0</v>
      </c>
      <c r="L23" s="105">
        <f t="shared" si="10"/>
        <v>0</v>
      </c>
      <c r="M23" s="105">
        <f t="shared" si="5"/>
        <v>0</v>
      </c>
      <c r="N23" s="106">
        <f t="shared" si="6"/>
        <v>25110000</v>
      </c>
      <c r="O23" s="75"/>
      <c r="P23" s="99">
        <f t="shared" si="0"/>
        <v>188</v>
      </c>
      <c r="Q23" s="80">
        <f t="shared" si="7"/>
        <v>0</v>
      </c>
      <c r="R23" s="80">
        <f t="shared" si="1"/>
        <v>0</v>
      </c>
      <c r="S23" s="75"/>
      <c r="T23" s="75"/>
      <c r="U23" s="94"/>
      <c r="V23" s="75"/>
      <c r="W23" s="145">
        <v>44977</v>
      </c>
      <c r="X23" s="133">
        <v>0.51</v>
      </c>
      <c r="Y23" s="137">
        <v>0</v>
      </c>
      <c r="Z23" s="137">
        <v>0</v>
      </c>
      <c r="AA23" s="137">
        <v>0</v>
      </c>
      <c r="AB23" s="140">
        <v>25110000</v>
      </c>
    </row>
    <row r="24" spans="1:28" s="148" customFormat="1">
      <c r="A24" s="100">
        <f>+'Calculadora VDFA'!A24-'Calculadora VDFA'!M24</f>
        <v>0</v>
      </c>
      <c r="B24" s="91">
        <f>+Carga!I11</f>
        <v>44958</v>
      </c>
      <c r="C24" s="101">
        <f>+Carga!P11</f>
        <v>30</v>
      </c>
      <c r="D24" s="102">
        <f>+IF(B24&lt;=$Q$5+C24,Carga!M11,$M$6)</f>
        <v>0.61</v>
      </c>
      <c r="E24" s="82">
        <f t="shared" si="2"/>
        <v>0.63</v>
      </c>
      <c r="F24" s="94">
        <f t="shared" si="3"/>
        <v>1318275</v>
      </c>
      <c r="G24" s="93">
        <f t="shared" si="4"/>
        <v>9227925</v>
      </c>
      <c r="H24" s="94"/>
      <c r="I24" s="121">
        <f>+'Flujos de fondo MIN'!B11</f>
        <v>45005</v>
      </c>
      <c r="J24" s="104">
        <f t="shared" si="8"/>
        <v>0.63</v>
      </c>
      <c r="K24" s="105">
        <f t="shared" si="9"/>
        <v>0</v>
      </c>
      <c r="L24" s="105">
        <f>+MIN(A24,F24+G23)</f>
        <v>0</v>
      </c>
      <c r="M24" s="105">
        <f t="shared" si="5"/>
        <v>0</v>
      </c>
      <c r="N24" s="106">
        <f t="shared" si="6"/>
        <v>25110000</v>
      </c>
      <c r="O24" s="75"/>
      <c r="P24" s="99">
        <f t="shared" si="0"/>
        <v>216</v>
      </c>
      <c r="Q24" s="80">
        <f t="shared" si="7"/>
        <v>0</v>
      </c>
      <c r="R24" s="80">
        <f t="shared" si="1"/>
        <v>0</v>
      </c>
      <c r="S24" s="75"/>
      <c r="T24" s="75"/>
      <c r="U24" s="94"/>
      <c r="V24" s="75"/>
      <c r="W24" s="145">
        <v>45005</v>
      </c>
      <c r="X24" s="133">
        <v>0.51</v>
      </c>
      <c r="Y24" s="137">
        <v>0</v>
      </c>
      <c r="Z24" s="137">
        <v>0</v>
      </c>
      <c r="AA24" s="137">
        <v>0</v>
      </c>
      <c r="AB24" s="140">
        <v>25110000</v>
      </c>
    </row>
    <row r="25" spans="1:28">
      <c r="A25" s="100">
        <f>+'Calculadora VDFA'!A25-'Calculadora VDFA'!M25</f>
        <v>0</v>
      </c>
      <c r="B25" s="91">
        <f>+Carga!I12</f>
        <v>44986</v>
      </c>
      <c r="C25" s="101">
        <f>+Carga!P12</f>
        <v>30</v>
      </c>
      <c r="D25" s="102">
        <f>+IF(B25&lt;=$Q$5+C25,Carga!M12,$M$6)</f>
        <v>0.61</v>
      </c>
      <c r="E25" s="82">
        <f t="shared" si="2"/>
        <v>0.63</v>
      </c>
      <c r="F25" s="94">
        <f t="shared" si="3"/>
        <v>1318275</v>
      </c>
      <c r="G25" s="93">
        <f t="shared" si="4"/>
        <v>10546200</v>
      </c>
      <c r="H25" s="94"/>
      <c r="I25" s="121">
        <f>+'Flujos de fondo MIN'!B12</f>
        <v>45036</v>
      </c>
      <c r="J25" s="104">
        <f t="shared" si="8"/>
        <v>0.63</v>
      </c>
      <c r="K25" s="105">
        <f t="shared" si="9"/>
        <v>0</v>
      </c>
      <c r="L25" s="105">
        <f t="shared" si="10"/>
        <v>0</v>
      </c>
      <c r="M25" s="105">
        <f t="shared" si="5"/>
        <v>0</v>
      </c>
      <c r="N25" s="106">
        <f t="shared" si="6"/>
        <v>25110000</v>
      </c>
      <c r="O25" s="75"/>
      <c r="P25" s="99">
        <f t="shared" si="0"/>
        <v>247</v>
      </c>
      <c r="Q25" s="80">
        <f t="shared" si="7"/>
        <v>0</v>
      </c>
      <c r="R25" s="80">
        <f t="shared" si="1"/>
        <v>0</v>
      </c>
      <c r="S25" s="75"/>
      <c r="T25" s="75"/>
      <c r="U25" s="94"/>
      <c r="V25" s="75"/>
      <c r="W25" s="145">
        <v>45036</v>
      </c>
      <c r="X25" s="133">
        <v>0.51</v>
      </c>
      <c r="Y25" s="137">
        <v>0</v>
      </c>
      <c r="Z25" s="137">
        <v>0</v>
      </c>
      <c r="AA25" s="137">
        <v>0</v>
      </c>
      <c r="AB25" s="140">
        <v>25110000</v>
      </c>
    </row>
    <row r="26" spans="1:28">
      <c r="A26" s="100">
        <f>+'Calculadora VDFA'!A26-'Calculadora VDFA'!M26</f>
        <v>0</v>
      </c>
      <c r="B26" s="91">
        <f>+Carga!I13</f>
        <v>45017</v>
      </c>
      <c r="C26" s="101">
        <f>+Carga!P13</f>
        <v>30</v>
      </c>
      <c r="D26" s="102">
        <f>+IF(B26&lt;=$Q$5+C26,Carga!M13,$M$6)</f>
        <v>0.61</v>
      </c>
      <c r="E26" s="82">
        <f t="shared" si="2"/>
        <v>0.63</v>
      </c>
      <c r="F26" s="94">
        <f>+((E26*N25)/360)*$C26</f>
        <v>1318275</v>
      </c>
      <c r="G26" s="93">
        <f t="shared" si="4"/>
        <v>11864475</v>
      </c>
      <c r="H26" s="94"/>
      <c r="I26" s="121">
        <f>+'Flujos de fondo MIN'!B13</f>
        <v>45068</v>
      </c>
      <c r="J26" s="104">
        <f t="shared" si="8"/>
        <v>0.63</v>
      </c>
      <c r="K26" s="105">
        <f t="shared" si="9"/>
        <v>0</v>
      </c>
      <c r="L26" s="105">
        <f t="shared" si="10"/>
        <v>0</v>
      </c>
      <c r="M26" s="105">
        <f t="shared" si="5"/>
        <v>0</v>
      </c>
      <c r="N26" s="106">
        <f t="shared" si="6"/>
        <v>25110000</v>
      </c>
      <c r="O26" s="75"/>
      <c r="P26" s="99">
        <f t="shared" si="0"/>
        <v>279</v>
      </c>
      <c r="Q26" s="80">
        <f t="shared" si="7"/>
        <v>0</v>
      </c>
      <c r="R26" s="80">
        <f t="shared" si="1"/>
        <v>0</v>
      </c>
      <c r="S26" s="75"/>
      <c r="T26" s="75"/>
      <c r="U26" s="94"/>
      <c r="V26" s="75"/>
      <c r="W26" s="145">
        <v>45068</v>
      </c>
      <c r="X26" s="133">
        <v>0.51</v>
      </c>
      <c r="Y26" s="137">
        <v>0</v>
      </c>
      <c r="Z26" s="137">
        <v>0</v>
      </c>
      <c r="AA26" s="137">
        <v>0</v>
      </c>
      <c r="AB26" s="140">
        <v>25110000</v>
      </c>
    </row>
    <row r="27" spans="1:28">
      <c r="A27" s="100">
        <f>+'Calculadora VDFA'!A27-'Calculadora VDFA'!M27</f>
        <v>0</v>
      </c>
      <c r="B27" s="91">
        <f>+Carga!I14</f>
        <v>45047</v>
      </c>
      <c r="C27" s="101">
        <f>+C24</f>
        <v>30</v>
      </c>
      <c r="D27" s="102">
        <f>+IF(B27&lt;=$Q$5+C27,Carga!M14,$M$6)</f>
        <v>0.61</v>
      </c>
      <c r="E27" s="82">
        <f t="shared" si="2"/>
        <v>0.63</v>
      </c>
      <c r="F27" s="94">
        <f t="shared" si="3"/>
        <v>1318275</v>
      </c>
      <c r="G27" s="93">
        <f t="shared" si="4"/>
        <v>13182750</v>
      </c>
      <c r="H27" s="94"/>
      <c r="I27" s="121">
        <f>+'Flujos de fondo MIN'!B14</f>
        <v>45098</v>
      </c>
      <c r="J27" s="104">
        <f t="shared" si="8"/>
        <v>0.63</v>
      </c>
      <c r="K27" s="105">
        <f t="shared" si="9"/>
        <v>0</v>
      </c>
      <c r="L27" s="105">
        <f t="shared" si="10"/>
        <v>0</v>
      </c>
      <c r="M27" s="105">
        <f t="shared" si="5"/>
        <v>0</v>
      </c>
      <c r="N27" s="106">
        <f t="shared" si="6"/>
        <v>25110000</v>
      </c>
      <c r="O27" s="75"/>
      <c r="P27" s="99">
        <f t="shared" si="0"/>
        <v>309</v>
      </c>
      <c r="Q27" s="80">
        <f t="shared" si="7"/>
        <v>0</v>
      </c>
      <c r="R27" s="80">
        <f t="shared" si="1"/>
        <v>0</v>
      </c>
      <c r="S27" s="75"/>
      <c r="T27" s="75"/>
      <c r="U27" s="94"/>
      <c r="V27" s="75"/>
      <c r="W27" s="145">
        <v>45098</v>
      </c>
      <c r="X27" s="133">
        <v>0.51</v>
      </c>
      <c r="Y27" s="137">
        <v>0</v>
      </c>
      <c r="Z27" s="137">
        <v>0</v>
      </c>
      <c r="AA27" s="137">
        <v>0</v>
      </c>
      <c r="AB27" s="140">
        <v>25110000</v>
      </c>
    </row>
    <row r="28" spans="1:28">
      <c r="A28" s="100">
        <f>+'Calculadora VDFA'!A28-'Calculadora VDFA'!M28</f>
        <v>0</v>
      </c>
      <c r="B28" s="91">
        <f>+Carga!I15</f>
        <v>45078</v>
      </c>
      <c r="C28" s="101">
        <f t="shared" ref="C28:C53" si="11">+C25</f>
        <v>30</v>
      </c>
      <c r="D28" s="102">
        <f>+IF(B28&lt;=$Q$5+C28,Carga!M15,$M$6)</f>
        <v>0.61</v>
      </c>
      <c r="E28" s="82">
        <f t="shared" si="2"/>
        <v>0.63</v>
      </c>
      <c r="F28" s="94">
        <f t="shared" si="3"/>
        <v>1318275</v>
      </c>
      <c r="G28" s="93">
        <f t="shared" si="4"/>
        <v>14501025</v>
      </c>
      <c r="H28" s="94"/>
      <c r="I28" s="121">
        <f>+'Flujos de fondo MIN'!B15</f>
        <v>45127</v>
      </c>
      <c r="J28" s="104">
        <f t="shared" si="8"/>
        <v>0.63</v>
      </c>
      <c r="K28" s="105">
        <f t="shared" si="9"/>
        <v>0</v>
      </c>
      <c r="L28" s="105">
        <f t="shared" si="10"/>
        <v>0</v>
      </c>
      <c r="M28" s="105">
        <f t="shared" si="5"/>
        <v>0</v>
      </c>
      <c r="N28" s="106">
        <f t="shared" si="6"/>
        <v>25110000</v>
      </c>
      <c r="O28" s="75"/>
      <c r="P28" s="99">
        <f t="shared" si="0"/>
        <v>338</v>
      </c>
      <c r="Q28" s="80">
        <f t="shared" si="7"/>
        <v>0</v>
      </c>
      <c r="R28" s="80">
        <f t="shared" si="1"/>
        <v>0</v>
      </c>
      <c r="S28" s="75"/>
      <c r="T28" s="75"/>
      <c r="U28" s="94"/>
      <c r="V28" s="75"/>
      <c r="W28" s="145">
        <v>45127</v>
      </c>
      <c r="X28" s="133">
        <v>0.51</v>
      </c>
      <c r="Y28" s="137">
        <v>0</v>
      </c>
      <c r="Z28" s="137">
        <v>0</v>
      </c>
      <c r="AA28" s="137">
        <v>0</v>
      </c>
      <c r="AB28" s="140">
        <v>25110000</v>
      </c>
    </row>
    <row r="29" spans="1:28">
      <c r="A29" s="100">
        <f>+'Calculadora VDFA'!A29-'Calculadora VDFA'!M29</f>
        <v>0</v>
      </c>
      <c r="B29" s="91">
        <f>+Carga!I16</f>
        <v>45108</v>
      </c>
      <c r="C29" s="101">
        <f t="shared" si="11"/>
        <v>30</v>
      </c>
      <c r="D29" s="102">
        <f>+IF(B29&lt;=$Q$5+C29,Carga!M16,$M$6)</f>
        <v>0.61</v>
      </c>
      <c r="E29" s="82">
        <f t="shared" si="2"/>
        <v>0.63</v>
      </c>
      <c r="F29" s="94">
        <f t="shared" si="3"/>
        <v>1318275</v>
      </c>
      <c r="G29" s="93">
        <f t="shared" si="4"/>
        <v>15819300</v>
      </c>
      <c r="H29" s="94"/>
      <c r="I29" s="121">
        <f>+'Flujos de fondo MIN'!B16</f>
        <v>45159</v>
      </c>
      <c r="J29" s="104">
        <f t="shared" si="8"/>
        <v>0.63</v>
      </c>
      <c r="K29" s="105">
        <f t="shared" si="9"/>
        <v>0</v>
      </c>
      <c r="L29" s="105">
        <f t="shared" si="10"/>
        <v>0</v>
      </c>
      <c r="M29" s="105">
        <f>+L29+K29</f>
        <v>0</v>
      </c>
      <c r="N29" s="106">
        <f t="shared" si="6"/>
        <v>25110000</v>
      </c>
      <c r="O29" s="75"/>
      <c r="P29" s="99">
        <f t="shared" si="0"/>
        <v>370</v>
      </c>
      <c r="Q29" s="80">
        <f t="shared" si="7"/>
        <v>0</v>
      </c>
      <c r="R29" s="80">
        <f t="shared" si="1"/>
        <v>0</v>
      </c>
      <c r="S29" s="75"/>
      <c r="T29" s="75"/>
      <c r="U29" s="94"/>
      <c r="V29" s="75"/>
      <c r="W29" s="145">
        <v>45159</v>
      </c>
      <c r="X29" s="133">
        <v>0.51</v>
      </c>
      <c r="Y29" s="137">
        <v>0</v>
      </c>
      <c r="Z29" s="137">
        <v>3269970.2657914609</v>
      </c>
      <c r="AA29" s="137">
        <v>3269970.2657914609</v>
      </c>
      <c r="AB29" s="140">
        <v>25110000</v>
      </c>
    </row>
    <row r="30" spans="1:28">
      <c r="A30" s="100">
        <f>+'Calculadora VDFA'!A30-'Calculadora VDFA'!M30</f>
        <v>0</v>
      </c>
      <c r="B30" s="91">
        <f>+Carga!I17</f>
        <v>45139</v>
      </c>
      <c r="C30" s="101">
        <f t="shared" si="11"/>
        <v>30</v>
      </c>
      <c r="D30" s="102">
        <f>+IF(B30&lt;=$Q$5+C30,Carga!M17,$M$6)</f>
        <v>0.61</v>
      </c>
      <c r="E30" s="82">
        <f t="shared" si="2"/>
        <v>0.63</v>
      </c>
      <c r="F30" s="94">
        <f t="shared" si="3"/>
        <v>1318275</v>
      </c>
      <c r="G30" s="93">
        <f t="shared" si="4"/>
        <v>17137575</v>
      </c>
      <c r="H30" s="94"/>
      <c r="I30" s="121">
        <f>+'Flujos de fondo MIN'!B17</f>
        <v>45189</v>
      </c>
      <c r="J30" s="104">
        <f t="shared" si="8"/>
        <v>0.63</v>
      </c>
      <c r="K30" s="105">
        <f>+MIN(A30-L30,N29)</f>
        <v>0</v>
      </c>
      <c r="L30" s="105">
        <f t="shared" si="10"/>
        <v>0</v>
      </c>
      <c r="M30" s="105">
        <f t="shared" si="5"/>
        <v>0</v>
      </c>
      <c r="N30" s="106">
        <f t="shared" si="6"/>
        <v>25110000</v>
      </c>
      <c r="O30" s="75"/>
      <c r="P30" s="99">
        <f t="shared" si="0"/>
        <v>400</v>
      </c>
      <c r="Q30" s="80">
        <f t="shared" si="7"/>
        <v>0</v>
      </c>
      <c r="R30" s="80">
        <f t="shared" si="1"/>
        <v>0</v>
      </c>
      <c r="S30" s="75"/>
      <c r="T30" s="75"/>
      <c r="U30" s="94"/>
      <c r="V30" s="75"/>
      <c r="W30" s="145">
        <v>45189</v>
      </c>
      <c r="X30" s="133">
        <v>0.51</v>
      </c>
      <c r="Y30" s="137">
        <v>4679147.2657914609</v>
      </c>
      <c r="Z30" s="137">
        <v>10603304.734208539</v>
      </c>
      <c r="AA30" s="137">
        <v>15282452</v>
      </c>
      <c r="AB30" s="140">
        <v>20430852.734208539</v>
      </c>
    </row>
    <row r="31" spans="1:28">
      <c r="A31" s="100">
        <f>+'Calculadora VDFA'!A31-'Calculadora VDFA'!M31</f>
        <v>12314176.056303214</v>
      </c>
      <c r="B31" s="91">
        <f>+Carga!I18</f>
        <v>45170</v>
      </c>
      <c r="C31" s="101">
        <f t="shared" si="11"/>
        <v>30</v>
      </c>
      <c r="D31" s="102">
        <f>+IF(B31&lt;=$Q$5+C31,Carga!M18,$M$6)</f>
        <v>0.61</v>
      </c>
      <c r="E31" s="82">
        <f t="shared" si="2"/>
        <v>0.63</v>
      </c>
      <c r="F31" s="94">
        <f t="shared" si="3"/>
        <v>1318275</v>
      </c>
      <c r="G31" s="93">
        <f t="shared" si="4"/>
        <v>6141673.9436967857</v>
      </c>
      <c r="H31" s="94"/>
      <c r="I31" s="121">
        <f>+'Flujos de fondo MIN'!B18</f>
        <v>45219</v>
      </c>
      <c r="J31" s="104">
        <f t="shared" si="8"/>
        <v>0.63</v>
      </c>
      <c r="K31" s="105">
        <f t="shared" si="9"/>
        <v>0</v>
      </c>
      <c r="L31" s="105">
        <f t="shared" si="10"/>
        <v>12314176.056303214</v>
      </c>
      <c r="M31" s="105">
        <f t="shared" si="5"/>
        <v>12314176.056303214</v>
      </c>
      <c r="N31" s="106">
        <f t="shared" si="6"/>
        <v>25110000</v>
      </c>
      <c r="O31" s="75"/>
      <c r="P31" s="99">
        <f t="shared" si="0"/>
        <v>430</v>
      </c>
      <c r="Q31" s="80">
        <f t="shared" si="7"/>
        <v>5442109.5680034431</v>
      </c>
      <c r="R31" s="80">
        <f t="shared" si="1"/>
        <v>2340107114.2414804</v>
      </c>
      <c r="S31" s="75"/>
      <c r="T31" s="75"/>
      <c r="U31" s="94"/>
      <c r="V31" s="75"/>
      <c r="W31" s="145">
        <v>45219</v>
      </c>
      <c r="X31" s="133">
        <v>0.51</v>
      </c>
      <c r="Y31" s="137">
        <v>13351506.758796137</v>
      </c>
      <c r="Z31" s="137">
        <v>868311.24120386282</v>
      </c>
      <c r="AA31" s="137">
        <v>14219818</v>
      </c>
      <c r="AB31" s="140">
        <v>7079345.9754124023</v>
      </c>
    </row>
    <row r="32" spans="1:28">
      <c r="A32" s="100">
        <f>+'Calculadora VDFA'!A32-'Calculadora VDFA'!M32</f>
        <v>13035523</v>
      </c>
      <c r="B32" s="91">
        <f>+Carga!I19</f>
        <v>45200</v>
      </c>
      <c r="C32" s="101">
        <f t="shared" si="11"/>
        <v>30</v>
      </c>
      <c r="D32" s="102">
        <f>+IF(B32&lt;=$Q$5+C32,Carga!M19,$M$6)</f>
        <v>0.61</v>
      </c>
      <c r="E32" s="82">
        <f t="shared" si="2"/>
        <v>0.63</v>
      </c>
      <c r="F32" s="94">
        <f t="shared" si="3"/>
        <v>1318275</v>
      </c>
      <c r="G32" s="93">
        <f t="shared" si="4"/>
        <v>0</v>
      </c>
      <c r="H32" s="94"/>
      <c r="I32" s="103">
        <f>+'Flujos de fondo MIN'!B19</f>
        <v>45250</v>
      </c>
      <c r="J32" s="104">
        <f t="shared" si="8"/>
        <v>0.63</v>
      </c>
      <c r="K32" s="105">
        <f t="shared" si="9"/>
        <v>5575574.0563032143</v>
      </c>
      <c r="L32" s="105">
        <f t="shared" si="10"/>
        <v>7459948.9436967857</v>
      </c>
      <c r="M32" s="105">
        <f t="shared" si="5"/>
        <v>13035523</v>
      </c>
      <c r="N32" s="106">
        <f t="shared" si="6"/>
        <v>19534425.943696786</v>
      </c>
      <c r="O32" s="75"/>
      <c r="P32" s="99">
        <f t="shared" si="0"/>
        <v>461</v>
      </c>
      <c r="Q32" s="80">
        <f t="shared" si="7"/>
        <v>5431545.8758446462</v>
      </c>
      <c r="R32" s="80">
        <f t="shared" si="1"/>
        <v>2503942648.7643819</v>
      </c>
      <c r="S32" s="75"/>
      <c r="T32" s="75"/>
      <c r="U32" s="94"/>
      <c r="V32" s="75"/>
      <c r="W32" s="145">
        <v>45250</v>
      </c>
      <c r="X32" s="133">
        <v>0.51</v>
      </c>
      <c r="Y32" s="137">
        <v>7079345.9754124023</v>
      </c>
      <c r="Z32" s="137">
        <v>300872.2039550271</v>
      </c>
      <c r="AA32" s="137">
        <v>7380218.1793674296</v>
      </c>
      <c r="AB32" s="140">
        <v>0</v>
      </c>
    </row>
    <row r="33" spans="1:28">
      <c r="A33" s="100">
        <f>+'Calculadora VDFA'!A33-'Calculadora VDFA'!M33</f>
        <v>10334777</v>
      </c>
      <c r="B33" s="91">
        <f>+Carga!I20</f>
        <v>45231</v>
      </c>
      <c r="C33" s="101">
        <f t="shared" si="11"/>
        <v>30</v>
      </c>
      <c r="D33" s="102">
        <f>+IF(B33&lt;=$Q$5+C33,Carga!M20,$M$6)</f>
        <v>0.61</v>
      </c>
      <c r="E33" s="82">
        <f t="shared" si="2"/>
        <v>0.63</v>
      </c>
      <c r="F33" s="94">
        <f t="shared" si="3"/>
        <v>1025557.3620440812</v>
      </c>
      <c r="G33" s="93">
        <f t="shared" si="4"/>
        <v>0</v>
      </c>
      <c r="H33" s="94"/>
      <c r="I33" s="103">
        <f>+'Flujos de fondo MIN'!B20</f>
        <v>45280</v>
      </c>
      <c r="J33" s="104">
        <f t="shared" si="8"/>
        <v>0.63</v>
      </c>
      <c r="K33" s="105">
        <f t="shared" si="9"/>
        <v>9309219.6379559189</v>
      </c>
      <c r="L33" s="105">
        <f t="shared" si="10"/>
        <v>1025557.3620440812</v>
      </c>
      <c r="M33" s="105">
        <f t="shared" si="5"/>
        <v>10334777</v>
      </c>
      <c r="N33" s="106">
        <f t="shared" si="6"/>
        <v>10225206.305740867</v>
      </c>
      <c r="O33" s="75"/>
      <c r="P33" s="99">
        <f t="shared" si="0"/>
        <v>491</v>
      </c>
      <c r="Q33" s="80">
        <f t="shared" si="7"/>
        <v>4067746.7838050206</v>
      </c>
      <c r="R33" s="80">
        <f t="shared" si="1"/>
        <v>1997263670.8482652</v>
      </c>
      <c r="S33" s="75"/>
      <c r="T33" s="75"/>
      <c r="U33" s="94"/>
      <c r="V33" s="75"/>
      <c r="W33" s="145">
        <v>45280</v>
      </c>
      <c r="X33" s="133">
        <v>0.51</v>
      </c>
      <c r="Y33" s="137">
        <v>0</v>
      </c>
      <c r="Z33" s="137">
        <v>0</v>
      </c>
      <c r="AA33" s="137">
        <v>0</v>
      </c>
      <c r="AB33" s="140">
        <v>0</v>
      </c>
    </row>
    <row r="34" spans="1:28" outlineLevel="1">
      <c r="A34" s="100">
        <f>+'Calculadora VDFA'!A34-'Calculadora VDFA'!M34</f>
        <v>11644498</v>
      </c>
      <c r="B34" s="91">
        <f>+Carga!I21</f>
        <v>45261</v>
      </c>
      <c r="C34" s="101">
        <f t="shared" si="11"/>
        <v>30</v>
      </c>
      <c r="D34" s="102">
        <f>+IF(B34&lt;=$Q$5+C34,Carga!M21,$M$6)</f>
        <v>0.61</v>
      </c>
      <c r="E34" s="82">
        <f t="shared" si="2"/>
        <v>0.63</v>
      </c>
      <c r="F34" s="94">
        <f t="shared" si="3"/>
        <v>536823.33105139551</v>
      </c>
      <c r="G34" s="93">
        <f t="shared" si="4"/>
        <v>0</v>
      </c>
      <c r="H34" s="94"/>
      <c r="I34" s="103">
        <f>+'Flujos de fondo MIN'!B21</f>
        <v>45313</v>
      </c>
      <c r="J34" s="104">
        <f t="shared" si="8"/>
        <v>0.63</v>
      </c>
      <c r="K34" s="105">
        <f t="shared" si="9"/>
        <v>10225206.305740867</v>
      </c>
      <c r="L34" s="105">
        <f t="shared" si="10"/>
        <v>536823.33105139551</v>
      </c>
      <c r="M34" s="105">
        <f t="shared" si="5"/>
        <v>10762029.636792263</v>
      </c>
      <c r="N34" s="106">
        <f t="shared" si="6"/>
        <v>0</v>
      </c>
      <c r="O34" s="75"/>
      <c r="P34" s="99">
        <f t="shared" si="0"/>
        <v>524</v>
      </c>
      <c r="Q34" s="80">
        <f t="shared" si="7"/>
        <v>3978602.7041259077</v>
      </c>
      <c r="R34" s="80">
        <f t="shared" si="1"/>
        <v>2084787816.9619756</v>
      </c>
      <c r="S34" s="75"/>
      <c r="T34" s="75"/>
      <c r="U34" s="94"/>
      <c r="V34" s="75"/>
      <c r="W34" s="145">
        <v>45313</v>
      </c>
      <c r="X34" s="133">
        <v>0.51</v>
      </c>
      <c r="Y34" s="137">
        <v>0</v>
      </c>
      <c r="Z34" s="137">
        <v>0</v>
      </c>
      <c r="AA34" s="137">
        <v>0</v>
      </c>
      <c r="AB34" s="140">
        <v>0</v>
      </c>
    </row>
    <row r="35" spans="1:28" ht="15.75" outlineLevel="1" thickBot="1">
      <c r="A35" s="100">
        <f>+'Calculadora VDFA'!A35-'Calculadora VDFA'!M35</f>
        <v>10943958</v>
      </c>
      <c r="B35" s="91">
        <f>+Carga!I22</f>
        <v>45292</v>
      </c>
      <c r="C35" s="101">
        <f t="shared" si="11"/>
        <v>30</v>
      </c>
      <c r="D35" s="102">
        <f>+IF(B35&lt;=$Q$5+C35,Carga!M22,$M$6)</f>
        <v>0.61</v>
      </c>
      <c r="E35" s="82">
        <f t="shared" si="2"/>
        <v>0.63</v>
      </c>
      <c r="F35" s="94">
        <f t="shared" si="3"/>
        <v>0</v>
      </c>
      <c r="G35" s="93">
        <f t="shared" si="4"/>
        <v>0</v>
      </c>
      <c r="H35" s="94"/>
      <c r="I35" s="103">
        <f>+'Flujos de fondo MIN'!B22</f>
        <v>45342</v>
      </c>
      <c r="J35" s="104">
        <f t="shared" si="8"/>
        <v>0.63</v>
      </c>
      <c r="K35" s="105">
        <f t="shared" si="9"/>
        <v>0</v>
      </c>
      <c r="L35" s="105">
        <f t="shared" si="10"/>
        <v>0</v>
      </c>
      <c r="M35" s="105">
        <f t="shared" si="5"/>
        <v>0</v>
      </c>
      <c r="N35" s="106">
        <f t="shared" si="6"/>
        <v>0</v>
      </c>
      <c r="O35" s="75"/>
      <c r="P35" s="99">
        <f t="shared" si="0"/>
        <v>553</v>
      </c>
      <c r="Q35" s="80">
        <f t="shared" si="7"/>
        <v>0</v>
      </c>
      <c r="R35" s="80">
        <f t="shared" si="1"/>
        <v>0</v>
      </c>
      <c r="S35" s="75"/>
      <c r="T35" s="75"/>
      <c r="U35" s="94"/>
      <c r="V35" s="75"/>
      <c r="W35" s="145">
        <v>45342</v>
      </c>
      <c r="X35" s="133">
        <v>0.51</v>
      </c>
      <c r="Y35" s="137">
        <v>0</v>
      </c>
      <c r="Z35" s="137">
        <v>0</v>
      </c>
      <c r="AA35" s="137">
        <v>0</v>
      </c>
      <c r="AB35" s="140">
        <v>0</v>
      </c>
    </row>
    <row r="36" spans="1:28" hidden="1" outlineLevel="1">
      <c r="A36" s="100">
        <f>+'Calculadora VDFA'!A36-'Calculadora VDFA'!M36</f>
        <v>9663022</v>
      </c>
      <c r="B36" s="91">
        <f>+Carga!I23</f>
        <v>45323</v>
      </c>
      <c r="C36" s="101">
        <f t="shared" si="11"/>
        <v>30</v>
      </c>
      <c r="D36" s="102">
        <f>+IF(B36&lt;=$Q$5+C36,Carga!M23,$M$6)</f>
        <v>0.61</v>
      </c>
      <c r="E36" s="82">
        <f t="shared" si="2"/>
        <v>0.63</v>
      </c>
      <c r="F36" s="94">
        <f t="shared" si="3"/>
        <v>0</v>
      </c>
      <c r="G36" s="93">
        <f t="shared" si="4"/>
        <v>0</v>
      </c>
      <c r="H36" s="94"/>
      <c r="I36" s="103">
        <f>+'Flujos de fondo MIN'!B23</f>
        <v>45371</v>
      </c>
      <c r="J36" s="104">
        <f t="shared" si="8"/>
        <v>0.63</v>
      </c>
      <c r="K36" s="105">
        <f t="shared" si="9"/>
        <v>0</v>
      </c>
      <c r="L36" s="105">
        <f t="shared" si="10"/>
        <v>0</v>
      </c>
      <c r="M36" s="105">
        <f t="shared" si="5"/>
        <v>0</v>
      </c>
      <c r="N36" s="106">
        <f t="shared" si="6"/>
        <v>0</v>
      </c>
      <c r="O36" s="75"/>
      <c r="P36" s="99">
        <f t="shared" si="0"/>
        <v>582</v>
      </c>
      <c r="Q36" s="80">
        <f t="shared" si="7"/>
        <v>0</v>
      </c>
      <c r="R36" s="80">
        <f t="shared" si="1"/>
        <v>0</v>
      </c>
      <c r="S36" s="75"/>
      <c r="T36" s="75"/>
      <c r="U36" s="94"/>
      <c r="V36" s="75"/>
      <c r="W36" s="94">
        <v>45371</v>
      </c>
      <c r="X36" s="94">
        <v>0.51</v>
      </c>
      <c r="Y36" s="94">
        <v>0</v>
      </c>
      <c r="Z36" s="75">
        <v>0</v>
      </c>
      <c r="AA36" s="75">
        <v>0</v>
      </c>
      <c r="AB36" s="75">
        <v>0</v>
      </c>
    </row>
    <row r="37" spans="1:28" ht="15.75" hidden="1" outlineLevel="1" thickBot="1">
      <c r="A37" s="100">
        <f>+'Calculadora VDFA'!A37-'Calculadora VDFA'!M37</f>
        <v>8266908</v>
      </c>
      <c r="B37" s="91">
        <f>+Carga!I24</f>
        <v>45352</v>
      </c>
      <c r="C37" s="101">
        <f t="shared" si="11"/>
        <v>30</v>
      </c>
      <c r="D37" s="102">
        <f>+IF(B37&lt;=$Q$5+C37,Carga!M24,$M$6)</f>
        <v>0.61</v>
      </c>
      <c r="E37" s="82">
        <f t="shared" si="2"/>
        <v>0.63</v>
      </c>
      <c r="F37" s="94">
        <f t="shared" si="3"/>
        <v>0</v>
      </c>
      <c r="G37" s="93">
        <f t="shared" si="4"/>
        <v>0</v>
      </c>
      <c r="H37" s="94"/>
      <c r="I37" s="103">
        <f>+'Flujos de fondo MIN'!B24</f>
        <v>45404</v>
      </c>
      <c r="J37" s="104">
        <f t="shared" si="8"/>
        <v>0.63</v>
      </c>
      <c r="K37" s="105">
        <f t="shared" si="9"/>
        <v>0</v>
      </c>
      <c r="L37" s="105">
        <f t="shared" si="10"/>
        <v>0</v>
      </c>
      <c r="M37" s="105">
        <f t="shared" si="5"/>
        <v>0</v>
      </c>
      <c r="N37" s="106">
        <f t="shared" si="6"/>
        <v>0</v>
      </c>
      <c r="O37" s="75"/>
      <c r="P37" s="99">
        <f t="shared" si="0"/>
        <v>615</v>
      </c>
      <c r="Q37" s="80">
        <f t="shared" si="7"/>
        <v>0</v>
      </c>
      <c r="R37" s="80">
        <f t="shared" si="1"/>
        <v>0</v>
      </c>
      <c r="S37" s="75"/>
      <c r="T37" s="75"/>
      <c r="U37" s="94"/>
      <c r="V37" s="75"/>
      <c r="W37" s="94">
        <v>45404</v>
      </c>
      <c r="X37" s="94">
        <v>0.51</v>
      </c>
      <c r="Y37" s="94">
        <v>0</v>
      </c>
      <c r="Z37" s="75">
        <v>0</v>
      </c>
      <c r="AA37" s="75">
        <v>0</v>
      </c>
      <c r="AB37" s="75">
        <v>0</v>
      </c>
    </row>
    <row r="38" spans="1:28" ht="15.75" hidden="1" outlineLevel="1" thickBot="1">
      <c r="A38" s="100">
        <f>+'Calculadora VDFA'!A38-'Calculadora VDFA'!M38</f>
        <v>6935193</v>
      </c>
      <c r="B38" s="91">
        <f>+Carga!I25</f>
        <v>45383</v>
      </c>
      <c r="C38" s="101">
        <f t="shared" si="11"/>
        <v>30</v>
      </c>
      <c r="D38" s="102">
        <f>+IF(B38&lt;=$Q$5+C38,Carga!M25,$M$6)</f>
        <v>0.61</v>
      </c>
      <c r="E38" s="82">
        <f t="shared" si="2"/>
        <v>0.63</v>
      </c>
      <c r="F38" s="94">
        <f t="shared" si="3"/>
        <v>0</v>
      </c>
      <c r="G38" s="93">
        <f t="shared" si="4"/>
        <v>0</v>
      </c>
      <c r="H38" s="94"/>
      <c r="I38" s="103">
        <f>+'Flujos de fondo MIN'!B25</f>
        <v>45432</v>
      </c>
      <c r="J38" s="104">
        <f t="shared" si="8"/>
        <v>0.63</v>
      </c>
      <c r="K38" s="105">
        <f t="shared" si="9"/>
        <v>0</v>
      </c>
      <c r="L38" s="105">
        <f t="shared" si="10"/>
        <v>0</v>
      </c>
      <c r="M38" s="105">
        <f t="shared" si="5"/>
        <v>0</v>
      </c>
      <c r="N38" s="106">
        <f t="shared" si="6"/>
        <v>0</v>
      </c>
      <c r="O38" s="75"/>
      <c r="P38" s="99">
        <f t="shared" si="0"/>
        <v>643</v>
      </c>
      <c r="Q38" s="80">
        <f t="shared" si="7"/>
        <v>0</v>
      </c>
      <c r="R38" s="80">
        <f t="shared" si="1"/>
        <v>0</v>
      </c>
      <c r="S38" s="75"/>
      <c r="T38" s="75"/>
      <c r="U38" s="94"/>
      <c r="V38" s="75"/>
      <c r="W38" s="94"/>
      <c r="X38" s="94"/>
      <c r="Y38" s="94"/>
      <c r="Z38" s="75"/>
      <c r="AA38" s="75"/>
      <c r="AB38" s="75"/>
    </row>
    <row r="39" spans="1:28" hidden="1" outlineLevel="1">
      <c r="A39" s="100">
        <f>+'Calculadora VDFA'!A39-'Calculadora VDFA'!M39</f>
        <v>6578975</v>
      </c>
      <c r="B39" s="91">
        <f>+Carga!I26</f>
        <v>45413</v>
      </c>
      <c r="C39" s="101">
        <f t="shared" si="11"/>
        <v>30</v>
      </c>
      <c r="D39" s="102">
        <f>+IF(B39&lt;=$Q$5+C39,Carga!M26,$M$6)</f>
        <v>0.61</v>
      </c>
      <c r="E39" s="82">
        <f t="shared" si="2"/>
        <v>0.63</v>
      </c>
      <c r="F39" s="94">
        <f t="shared" si="3"/>
        <v>0</v>
      </c>
      <c r="G39" s="93">
        <f t="shared" si="4"/>
        <v>0</v>
      </c>
      <c r="H39" s="94"/>
      <c r="I39" s="103">
        <f>+'Flujos de fondo MIN'!B26</f>
        <v>45464</v>
      </c>
      <c r="J39" s="104">
        <f t="shared" si="8"/>
        <v>0.63</v>
      </c>
      <c r="K39" s="105">
        <f t="shared" si="9"/>
        <v>0</v>
      </c>
      <c r="L39" s="105">
        <f t="shared" si="10"/>
        <v>0</v>
      </c>
      <c r="M39" s="105">
        <f t="shared" si="5"/>
        <v>0</v>
      </c>
      <c r="N39" s="106">
        <f t="shared" si="6"/>
        <v>0</v>
      </c>
      <c r="O39" s="75"/>
      <c r="P39" s="99">
        <f t="shared" si="0"/>
        <v>675</v>
      </c>
      <c r="Q39" s="80">
        <f t="shared" si="7"/>
        <v>0</v>
      </c>
      <c r="R39" s="80">
        <f t="shared" si="1"/>
        <v>0</v>
      </c>
      <c r="S39" s="75"/>
      <c r="T39" s="75"/>
      <c r="U39" s="94"/>
      <c r="V39" s="75"/>
      <c r="W39" s="94"/>
      <c r="X39" s="94"/>
      <c r="Y39" s="94"/>
      <c r="Z39" s="75"/>
      <c r="AA39" s="75"/>
      <c r="AB39" s="75"/>
    </row>
    <row r="40" spans="1:28" hidden="1" outlineLevel="1">
      <c r="A40" s="100">
        <f>+'Calculadora VDFA'!A40-'Calculadora VDFA'!M40</f>
        <v>5585863</v>
      </c>
      <c r="B40" s="91">
        <f>+Carga!I27</f>
        <v>45444</v>
      </c>
      <c r="C40" s="101">
        <f t="shared" si="11"/>
        <v>30</v>
      </c>
      <c r="D40" s="102">
        <f>+IF(B40&lt;=$Q$5+C40,Carga!M27,$M$6)</f>
        <v>0.61</v>
      </c>
      <c r="E40" s="82">
        <f t="shared" si="2"/>
        <v>0.63</v>
      </c>
      <c r="F40" s="94">
        <f t="shared" si="3"/>
        <v>0</v>
      </c>
      <c r="G40" s="93">
        <f t="shared" si="4"/>
        <v>0</v>
      </c>
      <c r="H40" s="94"/>
      <c r="I40" s="103">
        <f>+'Flujos de fondo MIN'!B27</f>
        <v>45495</v>
      </c>
      <c r="J40" s="104">
        <f t="shared" si="8"/>
        <v>0.63</v>
      </c>
      <c r="K40" s="105">
        <f t="shared" si="9"/>
        <v>0</v>
      </c>
      <c r="L40" s="105">
        <f t="shared" si="10"/>
        <v>0</v>
      </c>
      <c r="M40" s="105">
        <f t="shared" si="5"/>
        <v>0</v>
      </c>
      <c r="N40" s="106">
        <f t="shared" si="6"/>
        <v>0</v>
      </c>
      <c r="O40" s="75"/>
      <c r="P40" s="99">
        <f t="shared" si="0"/>
        <v>706</v>
      </c>
      <c r="Q40" s="80">
        <f t="shared" ref="Q40:Q53" si="12">+M40/(1+$M$10)^(P40/365)</f>
        <v>0</v>
      </c>
      <c r="R40" s="80">
        <f t="shared" si="1"/>
        <v>0</v>
      </c>
      <c r="S40" s="75"/>
      <c r="T40" s="75"/>
      <c r="U40" s="94"/>
      <c r="V40" s="75"/>
      <c r="W40" s="94"/>
      <c r="X40" s="94"/>
      <c r="Y40" s="94"/>
      <c r="Z40" s="75"/>
      <c r="AA40" s="75"/>
      <c r="AB40" s="75"/>
    </row>
    <row r="41" spans="1:28" hidden="1" outlineLevel="1">
      <c r="A41" s="100">
        <f>+'Calculadora VDFA'!A41-'Calculadora VDFA'!M41</f>
        <v>5340962</v>
      </c>
      <c r="B41" s="91">
        <f>+Carga!I28</f>
        <v>45474</v>
      </c>
      <c r="C41" s="101">
        <f t="shared" si="11"/>
        <v>30</v>
      </c>
      <c r="D41" s="102">
        <f>+IF(B41&lt;=$Q$5+C41,Carga!M28,$M$6)</f>
        <v>0.61</v>
      </c>
      <c r="E41" s="82">
        <f t="shared" si="2"/>
        <v>0.63</v>
      </c>
      <c r="F41" s="94">
        <f t="shared" si="3"/>
        <v>0</v>
      </c>
      <c r="G41" s="93">
        <f t="shared" si="4"/>
        <v>0</v>
      </c>
      <c r="H41" s="94"/>
      <c r="I41" s="103">
        <f>+'Flujos de fondo MIN'!B28</f>
        <v>45524</v>
      </c>
      <c r="J41" s="104">
        <f t="shared" si="8"/>
        <v>0.63</v>
      </c>
      <c r="K41" s="105">
        <f t="shared" si="9"/>
        <v>0</v>
      </c>
      <c r="L41" s="105">
        <f t="shared" si="10"/>
        <v>0</v>
      </c>
      <c r="M41" s="105">
        <f t="shared" si="5"/>
        <v>0</v>
      </c>
      <c r="N41" s="106">
        <f t="shared" si="6"/>
        <v>0</v>
      </c>
      <c r="O41" s="75"/>
      <c r="P41" s="99">
        <f t="shared" si="0"/>
        <v>735</v>
      </c>
      <c r="Q41" s="80">
        <f t="shared" si="12"/>
        <v>0</v>
      </c>
      <c r="R41" s="80">
        <f t="shared" si="1"/>
        <v>0</v>
      </c>
      <c r="S41" s="75"/>
      <c r="T41" s="75"/>
      <c r="U41" s="94"/>
      <c r="V41" s="75"/>
      <c r="W41" s="94"/>
      <c r="X41" s="94"/>
      <c r="Y41" s="94"/>
      <c r="Z41" s="75"/>
      <c r="AA41" s="75"/>
      <c r="AB41" s="75"/>
    </row>
    <row r="42" spans="1:28" hidden="1" outlineLevel="1">
      <c r="A42" s="100">
        <f>+'Calculadora VDFA'!A42-'Calculadora VDFA'!M42</f>
        <v>5233759</v>
      </c>
      <c r="B42" s="91">
        <f>+Carga!I29</f>
        <v>45505</v>
      </c>
      <c r="C42" s="101">
        <f t="shared" si="11"/>
        <v>30</v>
      </c>
      <c r="D42" s="102">
        <f>+IF(B42&lt;=$Q$5+C42,Carga!M29,$M$6)</f>
        <v>0.61</v>
      </c>
      <c r="E42" s="82">
        <f t="shared" si="2"/>
        <v>0.63</v>
      </c>
      <c r="F42" s="94">
        <f t="shared" si="3"/>
        <v>0</v>
      </c>
      <c r="G42" s="93">
        <f t="shared" si="4"/>
        <v>0</v>
      </c>
      <c r="H42" s="94"/>
      <c r="I42" s="103">
        <f>+'Flujos de fondo MIN'!B29</f>
        <v>45555</v>
      </c>
      <c r="J42" s="104">
        <f t="shared" si="8"/>
        <v>0.63</v>
      </c>
      <c r="K42" s="105">
        <f t="shared" si="9"/>
        <v>0</v>
      </c>
      <c r="L42" s="105">
        <f t="shared" si="10"/>
        <v>0</v>
      </c>
      <c r="M42" s="105">
        <f t="shared" si="5"/>
        <v>0</v>
      </c>
      <c r="N42" s="106">
        <f t="shared" si="6"/>
        <v>0</v>
      </c>
      <c r="O42" s="75"/>
      <c r="P42" s="99">
        <f t="shared" si="0"/>
        <v>766</v>
      </c>
      <c r="Q42" s="80">
        <f t="shared" si="12"/>
        <v>0</v>
      </c>
      <c r="R42" s="80">
        <f t="shared" si="1"/>
        <v>0</v>
      </c>
      <c r="S42" s="75"/>
      <c r="T42" s="75"/>
      <c r="U42" s="94"/>
      <c r="V42" s="75"/>
      <c r="W42" s="94"/>
      <c r="X42" s="94"/>
      <c r="Y42" s="94"/>
      <c r="Z42" s="75"/>
      <c r="AA42" s="75"/>
      <c r="AB42" s="75"/>
    </row>
    <row r="43" spans="1:28" hidden="1" outlineLevel="1">
      <c r="A43" s="100">
        <f>+'Calculadora VDFA'!A43-'Calculadora VDFA'!M43</f>
        <v>5101301</v>
      </c>
      <c r="B43" s="91">
        <f>+Carga!I30</f>
        <v>45536</v>
      </c>
      <c r="C43" s="101">
        <f t="shared" si="11"/>
        <v>30</v>
      </c>
      <c r="D43" s="102">
        <f>+IF(B43&lt;=$Q$5+C43,Carga!M30,$M$6)</f>
        <v>0.61</v>
      </c>
      <c r="E43" s="82">
        <f t="shared" si="2"/>
        <v>0.63</v>
      </c>
      <c r="F43" s="94">
        <f t="shared" si="3"/>
        <v>0</v>
      </c>
      <c r="G43" s="93">
        <f t="shared" si="4"/>
        <v>0</v>
      </c>
      <c r="H43" s="94"/>
      <c r="I43" s="103">
        <f>+'Flujos de fondo MIN'!B30</f>
        <v>45586</v>
      </c>
      <c r="J43" s="104">
        <f t="shared" si="8"/>
        <v>0.63</v>
      </c>
      <c r="K43" s="105">
        <f t="shared" si="9"/>
        <v>0</v>
      </c>
      <c r="L43" s="105">
        <f t="shared" si="10"/>
        <v>0</v>
      </c>
      <c r="M43" s="105">
        <f t="shared" si="5"/>
        <v>0</v>
      </c>
      <c r="N43" s="106">
        <f t="shared" si="6"/>
        <v>0</v>
      </c>
      <c r="O43" s="75"/>
      <c r="P43" s="99">
        <f t="shared" si="0"/>
        <v>797</v>
      </c>
      <c r="Q43" s="80">
        <f t="shared" si="12"/>
        <v>0</v>
      </c>
      <c r="R43" s="80">
        <f t="shared" si="1"/>
        <v>0</v>
      </c>
      <c r="S43" s="75"/>
      <c r="T43" s="75"/>
      <c r="U43" s="94"/>
      <c r="V43" s="75"/>
      <c r="W43" s="94"/>
      <c r="X43" s="94"/>
      <c r="Y43" s="94"/>
      <c r="Z43" s="75"/>
      <c r="AA43" s="75"/>
      <c r="AB43" s="75"/>
    </row>
    <row r="44" spans="1:28" hidden="1" outlineLevel="1">
      <c r="A44" s="100">
        <f>+'Calculadora VDFA'!A44-'Calculadora VDFA'!M44</f>
        <v>4867505</v>
      </c>
      <c r="B44" s="91">
        <f>+Carga!I31</f>
        <v>45566</v>
      </c>
      <c r="C44" s="101">
        <f t="shared" si="11"/>
        <v>30</v>
      </c>
      <c r="D44" s="102">
        <f>+IF(B44&lt;=$Q$5+C44,Carga!M31,$M$6)</f>
        <v>0.61</v>
      </c>
      <c r="E44" s="82">
        <f t="shared" si="2"/>
        <v>0.63</v>
      </c>
      <c r="F44" s="94">
        <f t="shared" si="3"/>
        <v>0</v>
      </c>
      <c r="G44" s="93">
        <f t="shared" si="4"/>
        <v>0</v>
      </c>
      <c r="H44" s="94"/>
      <c r="I44" s="103">
        <f>+'Flujos de fondo MIN'!B31</f>
        <v>45616</v>
      </c>
      <c r="J44" s="104">
        <f t="shared" si="8"/>
        <v>0.63</v>
      </c>
      <c r="K44" s="105">
        <f t="shared" si="9"/>
        <v>0</v>
      </c>
      <c r="L44" s="105">
        <f t="shared" si="10"/>
        <v>0</v>
      </c>
      <c r="M44" s="105">
        <f t="shared" si="5"/>
        <v>0</v>
      </c>
      <c r="N44" s="106">
        <f t="shared" si="6"/>
        <v>0</v>
      </c>
      <c r="O44" s="75"/>
      <c r="P44" s="99">
        <f t="shared" si="0"/>
        <v>827</v>
      </c>
      <c r="Q44" s="80">
        <f t="shared" si="12"/>
        <v>0</v>
      </c>
      <c r="R44" s="80">
        <f t="shared" si="1"/>
        <v>0</v>
      </c>
      <c r="S44" s="75"/>
      <c r="T44" s="75"/>
      <c r="U44" s="94"/>
      <c r="V44" s="75"/>
      <c r="W44" s="94"/>
      <c r="X44" s="94"/>
      <c r="Y44" s="94"/>
      <c r="Z44" s="75"/>
      <c r="AA44" s="75"/>
      <c r="AB44" s="75"/>
    </row>
    <row r="45" spans="1:28" hidden="1" outlineLevel="1">
      <c r="A45" s="100">
        <f>+'Calculadora VDFA'!A45-'Calculadora VDFA'!M45</f>
        <v>4825700</v>
      </c>
      <c r="B45" s="91">
        <f>+Carga!I32</f>
        <v>45597</v>
      </c>
      <c r="C45" s="101">
        <f t="shared" si="11"/>
        <v>30</v>
      </c>
      <c r="D45" s="102">
        <f>+IF(B45&lt;=$Q$5+C45,Carga!M32,$M$6)</f>
        <v>0.61</v>
      </c>
      <c r="E45" s="82">
        <f t="shared" si="2"/>
        <v>0.63</v>
      </c>
      <c r="F45" s="94">
        <f t="shared" si="3"/>
        <v>0</v>
      </c>
      <c r="G45" s="93">
        <f t="shared" si="4"/>
        <v>0</v>
      </c>
      <c r="H45" s="94"/>
      <c r="I45" s="103">
        <f>+'Flujos de fondo MIN'!B32</f>
        <v>45646</v>
      </c>
      <c r="J45" s="104">
        <f t="shared" si="8"/>
        <v>0.63</v>
      </c>
      <c r="K45" s="105">
        <f t="shared" si="9"/>
        <v>0</v>
      </c>
      <c r="L45" s="105">
        <f t="shared" si="10"/>
        <v>0</v>
      </c>
      <c r="M45" s="105">
        <f t="shared" si="5"/>
        <v>0</v>
      </c>
      <c r="N45" s="106">
        <f t="shared" si="6"/>
        <v>0</v>
      </c>
      <c r="O45" s="75"/>
      <c r="P45" s="99">
        <f t="shared" si="0"/>
        <v>857</v>
      </c>
      <c r="Q45" s="80">
        <f t="shared" si="12"/>
        <v>0</v>
      </c>
      <c r="R45" s="80">
        <f t="shared" si="1"/>
        <v>0</v>
      </c>
      <c r="S45" s="75"/>
      <c r="T45" s="75"/>
      <c r="U45" s="94"/>
      <c r="V45" s="75"/>
      <c r="W45" s="94"/>
      <c r="X45" s="94"/>
      <c r="Y45" s="94"/>
      <c r="Z45" s="75"/>
      <c r="AA45" s="75"/>
      <c r="AB45" s="75"/>
    </row>
    <row r="46" spans="1:28" hidden="1" outlineLevel="1">
      <c r="A46" s="100">
        <f>+'Calculadora VDFA'!A46-'Calculadora VDFA'!M46</f>
        <v>4741228</v>
      </c>
      <c r="B46" s="91">
        <f>+Carga!I33</f>
        <v>45627</v>
      </c>
      <c r="C46" s="101">
        <f t="shared" si="11"/>
        <v>30</v>
      </c>
      <c r="D46" s="102">
        <f>+IF(B46&lt;=$Q$5+C46,Carga!M33,$M$6)</f>
        <v>0.61</v>
      </c>
      <c r="E46" s="82">
        <f t="shared" si="2"/>
        <v>0.63</v>
      </c>
      <c r="F46" s="94">
        <f t="shared" si="3"/>
        <v>0</v>
      </c>
      <c r="G46" s="93">
        <f t="shared" si="4"/>
        <v>0</v>
      </c>
      <c r="H46" s="94"/>
      <c r="I46" s="103">
        <f>+'Flujos de fondo MIN'!B33</f>
        <v>45677</v>
      </c>
      <c r="J46" s="104">
        <f t="shared" si="8"/>
        <v>0.63</v>
      </c>
      <c r="K46" s="105">
        <f t="shared" si="9"/>
        <v>0</v>
      </c>
      <c r="L46" s="105">
        <f t="shared" si="10"/>
        <v>0</v>
      </c>
      <c r="M46" s="105">
        <f t="shared" si="5"/>
        <v>0</v>
      </c>
      <c r="N46" s="106">
        <f t="shared" si="6"/>
        <v>0</v>
      </c>
      <c r="O46" s="75"/>
      <c r="P46" s="99">
        <f t="shared" si="0"/>
        <v>888</v>
      </c>
      <c r="Q46" s="80">
        <f t="shared" si="12"/>
        <v>0</v>
      </c>
      <c r="R46" s="80">
        <f t="shared" si="1"/>
        <v>0</v>
      </c>
      <c r="S46" s="75"/>
      <c r="T46" s="75"/>
      <c r="U46" s="94"/>
      <c r="V46" s="75"/>
      <c r="W46" s="94"/>
      <c r="X46" s="94"/>
      <c r="Y46" s="94"/>
      <c r="Z46" s="75"/>
      <c r="AA46" s="75"/>
      <c r="AB46" s="75"/>
    </row>
    <row r="47" spans="1:28" hidden="1" outlineLevel="1">
      <c r="A47" s="100">
        <f>+'Calculadora VDFA'!A47-'Calculadora VDFA'!M47</f>
        <v>4045023</v>
      </c>
      <c r="B47" s="91">
        <f>+Carga!I34</f>
        <v>45658</v>
      </c>
      <c r="C47" s="101">
        <f t="shared" si="11"/>
        <v>30</v>
      </c>
      <c r="D47" s="102">
        <f>+IF(B47&lt;=$Q$5+C47,Carga!M34,$M$6)</f>
        <v>0.61</v>
      </c>
      <c r="E47" s="82">
        <f t="shared" si="2"/>
        <v>0.63</v>
      </c>
      <c r="F47" s="94">
        <f t="shared" si="3"/>
        <v>0</v>
      </c>
      <c r="G47" s="93">
        <f t="shared" si="4"/>
        <v>0</v>
      </c>
      <c r="H47" s="94"/>
      <c r="I47" s="103">
        <f>+'Flujos de fondo MIN'!B34</f>
        <v>45708</v>
      </c>
      <c r="J47" s="104">
        <f t="shared" si="8"/>
        <v>0.63</v>
      </c>
      <c r="K47" s="105">
        <f t="shared" si="9"/>
        <v>0</v>
      </c>
      <c r="L47" s="105">
        <f t="shared" si="10"/>
        <v>0</v>
      </c>
      <c r="M47" s="105">
        <f t="shared" si="5"/>
        <v>0</v>
      </c>
      <c r="N47" s="106">
        <f t="shared" si="6"/>
        <v>0</v>
      </c>
      <c r="O47" s="75"/>
      <c r="P47" s="99">
        <f t="shared" si="0"/>
        <v>919</v>
      </c>
      <c r="Q47" s="80">
        <f t="shared" si="12"/>
        <v>0</v>
      </c>
      <c r="R47" s="80">
        <f t="shared" si="1"/>
        <v>0</v>
      </c>
      <c r="S47" s="75"/>
      <c r="T47" s="75"/>
      <c r="U47" s="94"/>
      <c r="V47" s="75"/>
      <c r="W47" s="94"/>
      <c r="X47" s="94"/>
      <c r="Y47" s="94"/>
      <c r="Z47" s="75"/>
      <c r="AA47" s="75"/>
      <c r="AB47" s="75"/>
    </row>
    <row r="48" spans="1:28" hidden="1" outlineLevel="1">
      <c r="A48" s="100">
        <f>+'Calculadora VDFA'!A48-'Calculadora VDFA'!M48</f>
        <v>3123474</v>
      </c>
      <c r="B48" s="91">
        <f>+Carga!I35</f>
        <v>45689</v>
      </c>
      <c r="C48" s="101">
        <f t="shared" si="11"/>
        <v>30</v>
      </c>
      <c r="D48" s="102">
        <f>+IF(B48&lt;=$Q$5+C48,Carga!M35,$M$6)</f>
        <v>0.61</v>
      </c>
      <c r="E48" s="82">
        <f t="shared" si="2"/>
        <v>0.63</v>
      </c>
      <c r="F48" s="94">
        <f t="shared" si="3"/>
        <v>0</v>
      </c>
      <c r="G48" s="93">
        <f t="shared" si="4"/>
        <v>0</v>
      </c>
      <c r="H48" s="94"/>
      <c r="I48" s="103">
        <f>+'Flujos de fondo MIN'!B35</f>
        <v>45736</v>
      </c>
      <c r="J48" s="104">
        <f t="shared" si="8"/>
        <v>0.63</v>
      </c>
      <c r="K48" s="105">
        <f t="shared" si="9"/>
        <v>0</v>
      </c>
      <c r="L48" s="105">
        <f t="shared" si="10"/>
        <v>0</v>
      </c>
      <c r="M48" s="105">
        <f t="shared" si="5"/>
        <v>0</v>
      </c>
      <c r="N48" s="106">
        <f t="shared" si="6"/>
        <v>0</v>
      </c>
      <c r="O48" s="75"/>
      <c r="P48" s="99">
        <f t="shared" si="0"/>
        <v>947</v>
      </c>
      <c r="Q48" s="80">
        <f t="shared" si="12"/>
        <v>0</v>
      </c>
      <c r="R48" s="80">
        <f t="shared" si="1"/>
        <v>0</v>
      </c>
      <c r="S48" s="75"/>
      <c r="T48" s="75"/>
      <c r="U48" s="94"/>
      <c r="V48" s="75"/>
      <c r="W48" s="94"/>
      <c r="X48" s="94"/>
      <c r="Y48" s="94"/>
      <c r="Z48" s="75"/>
      <c r="AA48" s="75"/>
      <c r="AB48" s="75"/>
    </row>
    <row r="49" spans="1:28" hidden="1" outlineLevel="1">
      <c r="A49" s="100">
        <f>+'Calculadora VDFA'!A49-'Calculadora VDFA'!M49</f>
        <v>2323480</v>
      </c>
      <c r="B49" s="91">
        <f>+Carga!I36</f>
        <v>45717</v>
      </c>
      <c r="C49" s="101">
        <f t="shared" si="11"/>
        <v>30</v>
      </c>
      <c r="D49" s="102">
        <f>+IF(B49&lt;=$Q$5+C49,Carga!M36,$M$6)</f>
        <v>0.61</v>
      </c>
      <c r="E49" s="82">
        <f t="shared" si="2"/>
        <v>0.63</v>
      </c>
      <c r="F49" s="94">
        <f t="shared" si="3"/>
        <v>0</v>
      </c>
      <c r="G49" s="93">
        <f t="shared" si="4"/>
        <v>0</v>
      </c>
      <c r="H49" s="94"/>
      <c r="I49" s="103">
        <f>+'Flujos de fondo MIN'!B36</f>
        <v>45768</v>
      </c>
      <c r="J49" s="104">
        <f t="shared" si="8"/>
        <v>0.63</v>
      </c>
      <c r="K49" s="105">
        <f t="shared" si="9"/>
        <v>0</v>
      </c>
      <c r="L49" s="105">
        <f t="shared" si="10"/>
        <v>0</v>
      </c>
      <c r="M49" s="105">
        <f t="shared" si="5"/>
        <v>0</v>
      </c>
      <c r="N49" s="106">
        <f t="shared" si="6"/>
        <v>0</v>
      </c>
      <c r="O49" s="75"/>
      <c r="P49" s="99">
        <f t="shared" si="0"/>
        <v>979</v>
      </c>
      <c r="Q49" s="80">
        <f t="shared" si="12"/>
        <v>0</v>
      </c>
      <c r="R49" s="80">
        <f t="shared" si="1"/>
        <v>0</v>
      </c>
      <c r="S49" s="75"/>
      <c r="T49" s="75"/>
      <c r="U49" s="94"/>
      <c r="V49" s="75"/>
      <c r="W49" s="94"/>
      <c r="X49" s="94"/>
      <c r="Y49" s="94"/>
      <c r="Z49" s="75"/>
      <c r="AA49" s="75"/>
      <c r="AB49" s="75"/>
    </row>
    <row r="50" spans="1:28" hidden="1" outlineLevel="1">
      <c r="A50" s="100">
        <f>+'Calculadora VDFA'!A50-'Calculadora VDFA'!M50</f>
        <v>1388268</v>
      </c>
      <c r="B50" s="91">
        <f>+Carga!I37</f>
        <v>45748</v>
      </c>
      <c r="C50" s="101">
        <f t="shared" si="11"/>
        <v>30</v>
      </c>
      <c r="D50" s="102">
        <f>+IF(B50&lt;=$Q$5+C50,Carga!M37,$M$6)</f>
        <v>0.61</v>
      </c>
      <c r="E50" s="82">
        <f t="shared" si="2"/>
        <v>0.63</v>
      </c>
      <c r="F50" s="94">
        <f t="shared" si="3"/>
        <v>0</v>
      </c>
      <c r="G50" s="93">
        <f t="shared" si="4"/>
        <v>0</v>
      </c>
      <c r="H50" s="94"/>
      <c r="I50" s="103">
        <f>+'Flujos de fondo MIN'!B37</f>
        <v>45797</v>
      </c>
      <c r="J50" s="104">
        <f t="shared" si="8"/>
        <v>0.63</v>
      </c>
      <c r="K50" s="105">
        <f t="shared" si="9"/>
        <v>0</v>
      </c>
      <c r="L50" s="105">
        <f t="shared" si="10"/>
        <v>0</v>
      </c>
      <c r="M50" s="105">
        <f t="shared" si="5"/>
        <v>0</v>
      </c>
      <c r="N50" s="106">
        <f t="shared" si="6"/>
        <v>0</v>
      </c>
      <c r="O50" s="75"/>
      <c r="P50" s="99">
        <f t="shared" si="0"/>
        <v>1008</v>
      </c>
      <c r="Q50" s="80">
        <f t="shared" si="12"/>
        <v>0</v>
      </c>
      <c r="R50" s="80">
        <f t="shared" si="1"/>
        <v>0</v>
      </c>
      <c r="S50" s="75"/>
      <c r="T50" s="75"/>
      <c r="U50" s="94"/>
      <c r="V50" s="75"/>
      <c r="W50" s="94"/>
      <c r="X50" s="94"/>
      <c r="Y50" s="94"/>
      <c r="Z50" s="75"/>
      <c r="AA50" s="75"/>
      <c r="AB50" s="75"/>
    </row>
    <row r="51" spans="1:28" hidden="1" outlineLevel="1">
      <c r="A51" s="100">
        <f>+'Calculadora VDFA'!A51-'Calculadora VDFA'!M51</f>
        <v>845306</v>
      </c>
      <c r="B51" s="91">
        <f>+Carga!I38</f>
        <v>45778</v>
      </c>
      <c r="C51" s="101">
        <f t="shared" si="11"/>
        <v>30</v>
      </c>
      <c r="D51" s="102">
        <f>+IF(B51&lt;=$Q$5+C51,Carga!M38,$M$6)</f>
        <v>0.61</v>
      </c>
      <c r="E51" s="82">
        <f t="shared" si="2"/>
        <v>0.63</v>
      </c>
      <c r="F51" s="94">
        <f t="shared" si="3"/>
        <v>0</v>
      </c>
      <c r="G51" s="93">
        <f t="shared" si="4"/>
        <v>0</v>
      </c>
      <c r="H51" s="94"/>
      <c r="I51" s="103">
        <f>+'Flujos de fondo MIN'!B38</f>
        <v>45831</v>
      </c>
      <c r="J51" s="104">
        <f t="shared" si="8"/>
        <v>0.63</v>
      </c>
      <c r="K51" s="105">
        <f t="shared" si="9"/>
        <v>0</v>
      </c>
      <c r="L51" s="105">
        <f t="shared" si="10"/>
        <v>0</v>
      </c>
      <c r="M51" s="105">
        <f t="shared" si="5"/>
        <v>0</v>
      </c>
      <c r="N51" s="106">
        <f t="shared" si="6"/>
        <v>0</v>
      </c>
      <c r="O51" s="75"/>
      <c r="P51" s="99">
        <f t="shared" si="0"/>
        <v>1042</v>
      </c>
      <c r="Q51" s="80">
        <f t="shared" si="12"/>
        <v>0</v>
      </c>
      <c r="R51" s="80">
        <f t="shared" si="1"/>
        <v>0</v>
      </c>
      <c r="S51" s="75"/>
      <c r="T51" s="75"/>
      <c r="U51" s="94"/>
      <c r="V51" s="75"/>
      <c r="W51" s="94"/>
      <c r="X51" s="94"/>
      <c r="Y51" s="94"/>
      <c r="Z51" s="75"/>
      <c r="AA51" s="75"/>
      <c r="AB51" s="75"/>
    </row>
    <row r="52" spans="1:28" hidden="1" outlineLevel="1">
      <c r="A52" s="100">
        <f>+'Calculadora VDFA'!A52-'Calculadora VDFA'!M52</f>
        <v>309807</v>
      </c>
      <c r="B52" s="91">
        <f>+Carga!I39</f>
        <v>45809</v>
      </c>
      <c r="C52" s="101">
        <f t="shared" si="11"/>
        <v>30</v>
      </c>
      <c r="D52" s="102">
        <f>+IF(B52&lt;=$Q$5+C52,Carga!M39,$M$6)</f>
        <v>0.61</v>
      </c>
      <c r="E52" s="82">
        <f t="shared" si="2"/>
        <v>0.63</v>
      </c>
      <c r="F52" s="94">
        <f t="shared" si="3"/>
        <v>0</v>
      </c>
      <c r="G52" s="93">
        <f t="shared" si="4"/>
        <v>0</v>
      </c>
      <c r="H52" s="94"/>
      <c r="I52" s="103">
        <f>+'Flujos de fondo MIN'!B39</f>
        <v>45859</v>
      </c>
      <c r="J52" s="104">
        <f t="shared" si="8"/>
        <v>0.63</v>
      </c>
      <c r="K52" s="105">
        <f t="shared" si="9"/>
        <v>0</v>
      </c>
      <c r="L52" s="105">
        <f t="shared" si="10"/>
        <v>0</v>
      </c>
      <c r="M52" s="105">
        <f t="shared" si="5"/>
        <v>0</v>
      </c>
      <c r="N52" s="106">
        <f t="shared" si="6"/>
        <v>0</v>
      </c>
      <c r="O52" s="75"/>
      <c r="P52" s="99">
        <f t="shared" si="0"/>
        <v>1070</v>
      </c>
      <c r="Q52" s="80">
        <f t="shared" si="12"/>
        <v>0</v>
      </c>
      <c r="R52" s="80">
        <f t="shared" si="1"/>
        <v>0</v>
      </c>
      <c r="S52" s="75"/>
      <c r="T52" s="75"/>
      <c r="U52" s="94"/>
      <c r="V52" s="75"/>
      <c r="W52" s="75"/>
      <c r="X52" s="75"/>
      <c r="Y52" s="75"/>
      <c r="Z52" s="75"/>
      <c r="AA52" s="75"/>
      <c r="AB52" s="75"/>
    </row>
    <row r="53" spans="1:28" ht="15.75" hidden="1" outlineLevel="1" thickBot="1">
      <c r="A53" s="100">
        <f>+'Calculadora VDFA'!A53-'Calculadora VDFA'!M53</f>
        <v>142596</v>
      </c>
      <c r="B53" s="91">
        <f>+Carga!I40</f>
        <v>45839</v>
      </c>
      <c r="C53" s="101">
        <f t="shared" si="11"/>
        <v>30</v>
      </c>
      <c r="D53" s="102">
        <f>+IF(B53&lt;=$Q$5+C53,Carga!M40,$M$6)</f>
        <v>0.61</v>
      </c>
      <c r="E53" s="82">
        <f t="shared" si="2"/>
        <v>0.63</v>
      </c>
      <c r="F53" s="94">
        <f t="shared" si="3"/>
        <v>0</v>
      </c>
      <c r="G53" s="93">
        <f t="shared" si="4"/>
        <v>0</v>
      </c>
      <c r="H53" s="94"/>
      <c r="I53" s="103">
        <f>+'Flujos de fondo MIN'!B40</f>
        <v>45889</v>
      </c>
      <c r="J53" s="104">
        <f t="shared" si="8"/>
        <v>0.63</v>
      </c>
      <c r="K53" s="105">
        <f t="shared" si="9"/>
        <v>0</v>
      </c>
      <c r="L53" s="105">
        <f t="shared" si="10"/>
        <v>0</v>
      </c>
      <c r="M53" s="105">
        <f t="shared" si="5"/>
        <v>0</v>
      </c>
      <c r="N53" s="106">
        <f t="shared" si="6"/>
        <v>0</v>
      </c>
      <c r="O53" s="75"/>
      <c r="P53" s="99">
        <f t="shared" si="0"/>
        <v>1100</v>
      </c>
      <c r="Q53" s="80">
        <f t="shared" si="12"/>
        <v>0</v>
      </c>
      <c r="R53" s="80">
        <f t="shared" si="1"/>
        <v>0</v>
      </c>
      <c r="S53" s="75"/>
      <c r="T53" s="75"/>
      <c r="U53" s="94"/>
      <c r="V53" s="75"/>
      <c r="W53" s="75"/>
      <c r="X53" s="75"/>
      <c r="Y53" s="75"/>
      <c r="Z53" s="75"/>
      <c r="AA53" s="75"/>
      <c r="AB53" s="75"/>
    </row>
    <row r="54" spans="1:28" ht="15.75" collapsed="1" thickBot="1">
      <c r="A54" s="110">
        <f>SUM(A18:A39)</f>
        <v>89717030.056303218</v>
      </c>
      <c r="B54" s="75"/>
      <c r="C54" s="75"/>
      <c r="D54" s="75"/>
      <c r="E54" s="75"/>
      <c r="F54" s="110">
        <f>+SUM(F18:F53)</f>
        <v>21336505.693095475</v>
      </c>
      <c r="G54" s="75"/>
      <c r="H54" s="75"/>
      <c r="I54" s="107" t="s">
        <v>45</v>
      </c>
      <c r="J54" s="108"/>
      <c r="K54" s="109">
        <f>+SUM(K18:K53)</f>
        <v>25110000</v>
      </c>
      <c r="L54" s="109">
        <f>+SUM(L18:L53)</f>
        <v>21336505.693095475</v>
      </c>
      <c r="M54" s="109">
        <f>+SUM(M18:M53)</f>
        <v>46446505.693095483</v>
      </c>
      <c r="N54" s="109">
        <f>+N53</f>
        <v>0</v>
      </c>
      <c r="O54" s="75"/>
      <c r="P54" s="80"/>
      <c r="Q54" s="80">
        <f t="shared" ref="Q54:R54" si="13">+SUM(Q17:Q53)</f>
        <v>18920004.931779016</v>
      </c>
      <c r="R54" s="80">
        <f t="shared" si="13"/>
        <v>8926101250.816103</v>
      </c>
      <c r="S54" s="75"/>
      <c r="T54" s="75"/>
      <c r="U54" s="75"/>
      <c r="V54" s="75"/>
      <c r="W54" s="130" t="s">
        <v>45</v>
      </c>
      <c r="X54" s="134"/>
      <c r="Y54" s="138">
        <f>SUM(Y18:Y31)</f>
        <v>18030654.024587598</v>
      </c>
      <c r="Z54" s="138">
        <f>SUM(Z18:Z31)</f>
        <v>14741586.241203863</v>
      </c>
      <c r="AA54" s="138">
        <f>SUM(AA18:AA31)</f>
        <v>32772240.265791461</v>
      </c>
      <c r="AB54" s="138"/>
    </row>
    <row r="55" spans="1:28">
      <c r="A55" s="75"/>
      <c r="B55" s="75"/>
      <c r="C55" s="75"/>
      <c r="D55" s="75"/>
      <c r="E55" s="75"/>
      <c r="F55" s="75"/>
      <c r="G55" s="75"/>
      <c r="H55" s="75"/>
      <c r="I55" s="92"/>
      <c r="J55" s="92"/>
      <c r="K55" s="111"/>
      <c r="L55" s="111"/>
      <c r="M55" s="111"/>
      <c r="N55" s="75"/>
      <c r="O55" s="75"/>
      <c r="P55" s="75"/>
      <c r="Q55" s="80"/>
      <c r="R55" s="80">
        <f>+R54/Q54</f>
        <v>471.78112706637637</v>
      </c>
      <c r="S55" s="75"/>
      <c r="T55" s="75"/>
      <c r="U55" s="75"/>
      <c r="V55" s="75"/>
      <c r="W55" s="75"/>
      <c r="X55" s="75"/>
      <c r="Y55" s="75"/>
      <c r="Z55" s="75"/>
      <c r="AA55" s="75"/>
      <c r="AB55" s="75"/>
    </row>
    <row r="56" spans="1:28">
      <c r="A56" s="94"/>
      <c r="B56" s="75"/>
      <c r="C56" s="75"/>
      <c r="D56" s="75"/>
      <c r="E56" s="75"/>
      <c r="F56" s="75"/>
      <c r="G56" s="75"/>
      <c r="H56" s="75"/>
      <c r="I56" s="92"/>
      <c r="J56" s="92"/>
      <c r="K56" s="94"/>
      <c r="L56" s="94"/>
      <c r="M56" s="94"/>
      <c r="N56" s="75"/>
      <c r="O56" s="75"/>
      <c r="P56" s="75"/>
      <c r="Q56" s="90" t="s">
        <v>18</v>
      </c>
      <c r="R56" s="112">
        <f>+R55/30</f>
        <v>15.726037568879212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28">
      <c r="A57" s="75"/>
      <c r="B57" s="75"/>
      <c r="C57" s="75"/>
      <c r="D57" s="75"/>
      <c r="E57" s="75"/>
      <c r="F57" s="75"/>
      <c r="G57" s="75"/>
      <c r="H57" s="75"/>
      <c r="I57" s="176" t="s">
        <v>74</v>
      </c>
      <c r="J57" s="177"/>
      <c r="K57" s="177"/>
      <c r="L57" s="177"/>
      <c r="M57" s="177"/>
      <c r="N57" s="177"/>
      <c r="O57" s="75"/>
      <c r="P57" s="75"/>
      <c r="Q57" s="90" t="s">
        <v>46</v>
      </c>
      <c r="R57" s="112">
        <f>+R56/((1+M10)^(1/12))</f>
        <v>15.726037568879212</v>
      </c>
      <c r="S57" s="75"/>
      <c r="T57" s="75"/>
      <c r="U57" s="75"/>
      <c r="V57" s="75"/>
      <c r="W57" s="75"/>
      <c r="X57" s="75"/>
      <c r="Y57" s="75"/>
      <c r="Z57" s="75"/>
      <c r="AA57" s="75"/>
      <c r="AB57" s="75"/>
    </row>
    <row r="58" spans="1:28" ht="16.5" customHeight="1">
      <c r="A58" s="75"/>
      <c r="B58" s="75"/>
      <c r="C58" s="75"/>
      <c r="D58" s="75"/>
      <c r="E58" s="75"/>
      <c r="F58" s="75"/>
      <c r="G58" s="75"/>
      <c r="H58" s="75"/>
      <c r="I58" s="177"/>
      <c r="J58" s="178"/>
      <c r="K58" s="178"/>
      <c r="L58" s="178"/>
      <c r="M58" s="178"/>
      <c r="N58" s="177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</row>
    <row r="59" spans="1:28" ht="16.5" customHeight="1">
      <c r="A59" s="75"/>
      <c r="B59" s="75"/>
      <c r="C59" s="75"/>
      <c r="D59" s="75"/>
      <c r="E59" s="75"/>
      <c r="F59" s="75"/>
      <c r="G59" s="75"/>
      <c r="H59" s="75"/>
      <c r="I59" s="177"/>
      <c r="J59" s="178"/>
      <c r="K59" s="178"/>
      <c r="L59" s="178"/>
      <c r="M59" s="178"/>
      <c r="N59" s="177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</row>
    <row r="60" spans="1:28" ht="16.5" customHeight="1">
      <c r="A60" s="75"/>
      <c r="B60" s="75"/>
      <c r="C60" s="75"/>
      <c r="D60" s="75"/>
      <c r="E60" s="75"/>
      <c r="F60" s="75"/>
      <c r="G60" s="75"/>
      <c r="H60" s="75"/>
      <c r="I60" s="177"/>
      <c r="J60" s="178"/>
      <c r="K60" s="178"/>
      <c r="L60" s="178"/>
      <c r="M60" s="178"/>
      <c r="N60" s="177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</row>
    <row r="61" spans="1:28" ht="16.5" customHeight="1">
      <c r="A61" s="75"/>
      <c r="B61" s="75"/>
      <c r="C61" s="75"/>
      <c r="D61" s="75"/>
      <c r="E61" s="75"/>
      <c r="F61" s="75"/>
      <c r="G61" s="75"/>
      <c r="H61" s="75"/>
      <c r="I61" s="177"/>
      <c r="J61" s="177"/>
      <c r="K61" s="177"/>
      <c r="L61" s="177"/>
      <c r="M61" s="177"/>
      <c r="N61" s="177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</row>
    <row r="62" spans="1:28" ht="16.5" customHeight="1">
      <c r="A62" s="75"/>
      <c r="B62" s="75"/>
      <c r="C62" s="75"/>
      <c r="D62" s="75"/>
      <c r="E62" s="75"/>
      <c r="F62" s="75"/>
      <c r="G62" s="75"/>
      <c r="H62" s="75"/>
      <c r="I62" s="92"/>
      <c r="J62" s="92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</row>
    <row r="63" spans="1:28" ht="16.5" customHeight="1">
      <c r="A63" s="75"/>
      <c r="B63" s="75"/>
      <c r="C63" s="75"/>
      <c r="D63" s="75"/>
      <c r="E63" s="75"/>
      <c r="F63" s="75"/>
      <c r="G63" s="75"/>
      <c r="H63" s="75"/>
      <c r="I63" s="92"/>
      <c r="J63" s="92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</row>
    <row r="64" spans="1:28" ht="16.5" customHeight="1">
      <c r="A64" s="75"/>
      <c r="B64" s="75"/>
      <c r="C64" s="75"/>
      <c r="D64" s="75"/>
      <c r="E64" s="75"/>
      <c r="F64" s="75"/>
      <c r="G64" s="75"/>
      <c r="H64" s="75"/>
      <c r="I64" s="92"/>
      <c r="J64" s="92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</row>
    <row r="65" spans="1:28" ht="16.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</row>
    <row r="66" spans="1:28" ht="16.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</row>
    <row r="67" spans="1:28" ht="16.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</row>
    <row r="68" spans="1:28" ht="16.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</row>
    <row r="69" spans="1:28" ht="16.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</row>
    <row r="70" spans="1:28" ht="16.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</row>
    <row r="71" spans="1:28" ht="16.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</row>
    <row r="72" spans="1:28" ht="16.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</row>
    <row r="73" spans="1:28" ht="16.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</row>
    <row r="74" spans="1:28" ht="16.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</row>
    <row r="75" spans="1:28" ht="16.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</row>
    <row r="76" spans="1:28" ht="16.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</row>
    <row r="77" spans="1:28" ht="16.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</row>
    <row r="78" spans="1:28" ht="16.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</row>
    <row r="79" spans="1:28" ht="16.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</row>
    <row r="80" spans="1:28" ht="16.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</row>
    <row r="81" spans="1:28" ht="16.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</row>
    <row r="82" spans="1:28" ht="16.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</row>
    <row r="83" spans="1:28" ht="16.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</row>
    <row r="84" spans="1:28" ht="16.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</row>
    <row r="85" spans="1:28" ht="16.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</row>
    <row r="86" spans="1:28" ht="16.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</row>
    <row r="87" spans="1:28" ht="16.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</row>
    <row r="88" spans="1:28" ht="16.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</row>
    <row r="89" spans="1:28" ht="16.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</row>
    <row r="90" spans="1:28" ht="16.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</row>
    <row r="91" spans="1:28" ht="16.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</row>
    <row r="92" spans="1:28" ht="16.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</row>
    <row r="93" spans="1:28" ht="16.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</row>
    <row r="94" spans="1:28" ht="16.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</row>
    <row r="95" spans="1:28" ht="16.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</row>
    <row r="96" spans="1:28" ht="16.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</row>
    <row r="97" spans="1:28" ht="16.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</row>
    <row r="98" spans="1:28" ht="16.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</row>
    <row r="99" spans="1:28" ht="16.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</row>
    <row r="100" spans="1:28" ht="16.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</row>
    <row r="101" spans="1:28" ht="16.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</row>
    <row r="102" spans="1:28" ht="16.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</row>
    <row r="103" spans="1:28" ht="16.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</row>
    <row r="104" spans="1:28" ht="16.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</row>
    <row r="105" spans="1:28" ht="16.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</row>
    <row r="106" spans="1:28" ht="16.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</row>
    <row r="107" spans="1:28" ht="16.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</row>
    <row r="108" spans="1:28" ht="16.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</row>
    <row r="109" spans="1:28" ht="16.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</row>
    <row r="110" spans="1:28" ht="16.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</row>
    <row r="111" spans="1:28" ht="16.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</row>
    <row r="112" spans="1:28" ht="16.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</row>
    <row r="113" spans="1:28" ht="16.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</row>
    <row r="114" spans="1:28" ht="16.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</row>
    <row r="115" spans="1:28" ht="16.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</row>
    <row r="116" spans="1:28" ht="16.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</row>
    <row r="117" spans="1:28" ht="16.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</row>
    <row r="118" spans="1:28" ht="16.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</row>
    <row r="119" spans="1:28" ht="16.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</row>
    <row r="120" spans="1:28" ht="16.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</row>
    <row r="121" spans="1:28" ht="16.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</row>
    <row r="122" spans="1:28" ht="16.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</row>
    <row r="123" spans="1:28" ht="16.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</row>
    <row r="124" spans="1:28" ht="16.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</row>
    <row r="125" spans="1:28" ht="16.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</row>
    <row r="126" spans="1:28" ht="16.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</row>
    <row r="127" spans="1:28" ht="16.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</row>
    <row r="128" spans="1:28" ht="16.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</row>
    <row r="129" spans="1:28" ht="16.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</row>
    <row r="130" spans="1:28" ht="16.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</row>
    <row r="131" spans="1:28" ht="16.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</row>
    <row r="132" spans="1:28" ht="16.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</row>
    <row r="133" spans="1:28" ht="16.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</row>
    <row r="134" spans="1:28" ht="16.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</row>
    <row r="135" spans="1:28" ht="16.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</row>
    <row r="136" spans="1:28" ht="16.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</row>
    <row r="137" spans="1:28" ht="16.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</row>
    <row r="138" spans="1:28" ht="16.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</row>
    <row r="139" spans="1:28" ht="16.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</row>
    <row r="140" spans="1:28" ht="16.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</row>
    <row r="141" spans="1:28" ht="16.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</row>
    <row r="142" spans="1:28" ht="16.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</row>
    <row r="143" spans="1:28" ht="16.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</row>
    <row r="144" spans="1:28" ht="16.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</row>
    <row r="145" spans="1:28" ht="16.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</row>
    <row r="146" spans="1:28" ht="16.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</row>
    <row r="147" spans="1:28" ht="16.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</row>
    <row r="148" spans="1:28" ht="16.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</row>
    <row r="149" spans="1:28" ht="16.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</row>
    <row r="150" spans="1:28" ht="16.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</row>
    <row r="151" spans="1:28" ht="16.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</row>
    <row r="152" spans="1:28" ht="16.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</row>
    <row r="153" spans="1:28" ht="16.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</row>
    <row r="154" spans="1:28" ht="16.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</row>
    <row r="155" spans="1:28" ht="16.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</row>
    <row r="156" spans="1:28" ht="16.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</row>
    <row r="157" spans="1:28" ht="16.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</row>
    <row r="158" spans="1:28" ht="16.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</row>
    <row r="159" spans="1:28" ht="16.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</row>
    <row r="160" spans="1:28" ht="16.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</row>
    <row r="161" spans="1:28" ht="16.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</row>
    <row r="162" spans="1:28" ht="16.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</row>
    <row r="163" spans="1:28" ht="16.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</row>
    <row r="164" spans="1:28" ht="16.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</row>
    <row r="165" spans="1:28" ht="16.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</row>
    <row r="166" spans="1:28" ht="16.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</row>
    <row r="167" spans="1:28" ht="16.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</row>
    <row r="168" spans="1:28" ht="16.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</row>
    <row r="169" spans="1:28" ht="16.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</row>
    <row r="170" spans="1:28" ht="16.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</row>
    <row r="171" spans="1:28" ht="16.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</row>
    <row r="172" spans="1:28" ht="16.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</row>
    <row r="173" spans="1:28" ht="16.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</row>
    <row r="174" spans="1:28" ht="16.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</row>
    <row r="175" spans="1:28" ht="16.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</row>
    <row r="176" spans="1:28" ht="16.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</row>
    <row r="177" spans="1:28" ht="16.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</row>
    <row r="178" spans="1:28" ht="16.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</row>
    <row r="179" spans="1:28" ht="16.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</row>
    <row r="180" spans="1:28" ht="16.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</row>
    <row r="181" spans="1:28" ht="16.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</row>
    <row r="182" spans="1:28" ht="16.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16.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</row>
    <row r="184" spans="1:28" ht="16.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</row>
    <row r="185" spans="1:28" ht="16.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</row>
    <row r="186" spans="1:28" ht="16.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</row>
    <row r="187" spans="1:28" ht="16.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</row>
    <row r="188" spans="1:28" ht="16.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</row>
    <row r="189" spans="1:28" ht="16.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</row>
    <row r="190" spans="1:28" ht="16.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</row>
    <row r="191" spans="1:28" ht="16.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28" ht="16.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</row>
    <row r="193" spans="1:28" ht="16.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</row>
    <row r="194" spans="1:28" ht="16.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16.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</row>
    <row r="196" spans="1:28" ht="16.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</row>
    <row r="197" spans="1:28" ht="16.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</row>
    <row r="198" spans="1:28" ht="16.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</row>
    <row r="199" spans="1:28" ht="16.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</row>
    <row r="200" spans="1:28" ht="16.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</row>
    <row r="201" spans="1:28" ht="16.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</row>
    <row r="202" spans="1:28" ht="16.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</row>
    <row r="203" spans="1:28" ht="16.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</row>
    <row r="204" spans="1:28" ht="16.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</row>
    <row r="205" spans="1:28" ht="16.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</row>
    <row r="206" spans="1:28" ht="16.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</row>
    <row r="207" spans="1:28" ht="16.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</row>
    <row r="208" spans="1:28" ht="16.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</row>
    <row r="209" spans="1:28" ht="16.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</row>
    <row r="210" spans="1:28" ht="16.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</row>
    <row r="211" spans="1:28" ht="16.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</row>
    <row r="212" spans="1:28" ht="16.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</row>
    <row r="213" spans="1:28" ht="16.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</row>
    <row r="214" spans="1:28" ht="16.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</row>
    <row r="215" spans="1:28" ht="16.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</row>
    <row r="216" spans="1:28" ht="16.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</row>
    <row r="217" spans="1:28" ht="16.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</row>
    <row r="218" spans="1:28" ht="16.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</row>
    <row r="219" spans="1:28" ht="16.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</row>
    <row r="220" spans="1:28" ht="16.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</row>
    <row r="221" spans="1:28" ht="16.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</row>
    <row r="222" spans="1:28" ht="16.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</row>
    <row r="223" spans="1:28" ht="16.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</row>
    <row r="224" spans="1:28" ht="16.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</row>
    <row r="225" spans="1:28" ht="16.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</row>
    <row r="226" spans="1:28" ht="16.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</row>
    <row r="227" spans="1:28" ht="16.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</row>
    <row r="228" spans="1:28" ht="16.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</row>
    <row r="229" spans="1:28" ht="16.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</row>
    <row r="230" spans="1:28" ht="16.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</row>
    <row r="231" spans="1:28" ht="16.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</row>
    <row r="232" spans="1:28" ht="16.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</row>
    <row r="233" spans="1:28" ht="16.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</row>
    <row r="234" spans="1:28" ht="16.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</row>
    <row r="235" spans="1:28" ht="16.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</row>
    <row r="236" spans="1:28" ht="16.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</row>
    <row r="237" spans="1:28" ht="16.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</row>
    <row r="238" spans="1:28" ht="16.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</row>
    <row r="239" spans="1:28" ht="16.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</row>
    <row r="240" spans="1:28" ht="16.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</row>
    <row r="241" spans="1:28" ht="16.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</row>
    <row r="242" spans="1:28" ht="16.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</row>
    <row r="243" spans="1:28" ht="16.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</row>
    <row r="244" spans="1:28" ht="16.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</row>
    <row r="245" spans="1:28" ht="16.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</row>
    <row r="246" spans="1:28" ht="16.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</row>
    <row r="247" spans="1:28" ht="16.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</row>
    <row r="248" spans="1:28" ht="16.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</row>
    <row r="249" spans="1:28" ht="16.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</row>
    <row r="250" spans="1:28" ht="16.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</row>
    <row r="251" spans="1:28" ht="16.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</row>
    <row r="252" spans="1:28" ht="16.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</row>
    <row r="253" spans="1:28" ht="16.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</row>
    <row r="254" spans="1:28" ht="16.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</row>
    <row r="255" spans="1:28" ht="16.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</row>
    <row r="256" spans="1:28" ht="16.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</row>
    <row r="257" spans="1:28" ht="16.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</row>
    <row r="258" spans="1:28" ht="16.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</row>
    <row r="259" spans="1:28" ht="16.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</row>
    <row r="260" spans="1:28" ht="16.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</row>
    <row r="261" spans="1:28" ht="16.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</row>
    <row r="262" spans="1:28" ht="16.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</row>
    <row r="263" spans="1:28" ht="16.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</row>
    <row r="264" spans="1:28" ht="16.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</row>
    <row r="265" spans="1:28" ht="16.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</row>
    <row r="266" spans="1:28" ht="16.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</row>
    <row r="267" spans="1:28" ht="16.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</row>
    <row r="268" spans="1:28" ht="16.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</row>
    <row r="269" spans="1:28" ht="16.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</row>
    <row r="270" spans="1:28" ht="16.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</row>
    <row r="271" spans="1:28" ht="16.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</row>
    <row r="272" spans="1:28" ht="16.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</row>
    <row r="273" spans="1:28" ht="16.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</row>
    <row r="274" spans="1:28" ht="16.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</row>
    <row r="275" spans="1:28" ht="16.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</row>
    <row r="276" spans="1:28" ht="16.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</row>
    <row r="277" spans="1:28" ht="16.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</row>
    <row r="278" spans="1:28" ht="16.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</row>
    <row r="279" spans="1:28" ht="16.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</row>
    <row r="280" spans="1:28" ht="16.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</row>
    <row r="281" spans="1:28" ht="16.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</row>
    <row r="282" spans="1:28" ht="16.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</row>
    <row r="283" spans="1:28" ht="16.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</row>
    <row r="284" spans="1:28" ht="16.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</row>
    <row r="285" spans="1:28" ht="16.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</row>
    <row r="286" spans="1:28" ht="16.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</row>
    <row r="287" spans="1:28" ht="16.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</row>
    <row r="288" spans="1:28" ht="16.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</row>
    <row r="289" spans="1:28" ht="16.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</row>
    <row r="290" spans="1:28" ht="16.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</row>
    <row r="291" spans="1:28" ht="16.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</row>
    <row r="292" spans="1:28" ht="16.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</row>
    <row r="293" spans="1:28" ht="16.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</row>
    <row r="294" spans="1:28" ht="16.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</row>
    <row r="295" spans="1:28" ht="16.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</row>
    <row r="296" spans="1:28" ht="16.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</row>
    <row r="297" spans="1:28" ht="16.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</row>
    <row r="298" spans="1:28" ht="16.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</row>
    <row r="299" spans="1:28" ht="16.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</row>
    <row r="300" spans="1:28" ht="16.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</row>
    <row r="301" spans="1:28" ht="16.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</row>
    <row r="302" spans="1:28" ht="16.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</row>
    <row r="303" spans="1:28" ht="16.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</row>
    <row r="304" spans="1:28" ht="16.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</row>
    <row r="305" spans="1:28" ht="16.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</row>
    <row r="306" spans="1:28" ht="16.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</row>
    <row r="307" spans="1:28" ht="16.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</row>
    <row r="308" spans="1:28" ht="16.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</row>
    <row r="309" spans="1:28" ht="16.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</row>
    <row r="310" spans="1:28" ht="16.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</row>
    <row r="311" spans="1:28" ht="16.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</row>
    <row r="312" spans="1:28" ht="16.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</row>
    <row r="313" spans="1:28" ht="16.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</row>
    <row r="314" spans="1:28" ht="16.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</row>
    <row r="315" spans="1:28" ht="16.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</row>
    <row r="316" spans="1:28" ht="16.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</row>
    <row r="317" spans="1:28" ht="16.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</row>
    <row r="318" spans="1:28" ht="16.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</row>
    <row r="319" spans="1:28" ht="16.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</row>
    <row r="320" spans="1:28" ht="16.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</row>
    <row r="321" spans="1:28" ht="16.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</row>
    <row r="322" spans="1:28" ht="16.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</row>
    <row r="323" spans="1:28" ht="16.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</row>
    <row r="324" spans="1:28" ht="16.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</row>
    <row r="325" spans="1:28" ht="16.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</row>
    <row r="326" spans="1:28" ht="16.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</row>
    <row r="327" spans="1:28" ht="16.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</row>
    <row r="328" spans="1:28" ht="16.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</row>
    <row r="329" spans="1:28" ht="16.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</row>
    <row r="330" spans="1:28" ht="16.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</row>
    <row r="331" spans="1:28" ht="16.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</row>
    <row r="332" spans="1:28" ht="16.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</row>
    <row r="333" spans="1:28" ht="16.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</row>
    <row r="334" spans="1:28" ht="16.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</row>
    <row r="335" spans="1:28" ht="16.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</row>
    <row r="336" spans="1:28" ht="16.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</row>
    <row r="337" spans="1:28" ht="16.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</row>
    <row r="338" spans="1:28" ht="16.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</row>
    <row r="339" spans="1:28" ht="16.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</row>
    <row r="340" spans="1:28" ht="16.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</row>
    <row r="341" spans="1:28" ht="16.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</row>
    <row r="342" spans="1:28" ht="16.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</row>
    <row r="343" spans="1:28" ht="16.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</row>
    <row r="344" spans="1:28" ht="16.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</row>
    <row r="345" spans="1:28" ht="16.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</row>
    <row r="346" spans="1:28" ht="16.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</row>
    <row r="347" spans="1:28" ht="16.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</row>
    <row r="348" spans="1:28" ht="16.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</row>
    <row r="349" spans="1:28" ht="16.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</row>
    <row r="350" spans="1:28" ht="16.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</row>
    <row r="351" spans="1:28" ht="16.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</row>
    <row r="352" spans="1:28" ht="16.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</row>
    <row r="353" spans="1:28" ht="16.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</row>
    <row r="354" spans="1:28" ht="16.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</row>
    <row r="355" spans="1:28" ht="16.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</row>
    <row r="356" spans="1:28" ht="16.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</row>
    <row r="357" spans="1:28" ht="16.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</row>
    <row r="358" spans="1:28" ht="16.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</row>
    <row r="359" spans="1:28" ht="16.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</row>
    <row r="360" spans="1:28" ht="16.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</row>
    <row r="361" spans="1:28" ht="16.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</row>
    <row r="362" spans="1:28" ht="16.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</row>
    <row r="363" spans="1:28" ht="16.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</row>
    <row r="364" spans="1:28" ht="16.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</row>
    <row r="365" spans="1:28" ht="16.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</row>
    <row r="366" spans="1:28" ht="16.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</row>
    <row r="367" spans="1:28" ht="16.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</row>
    <row r="368" spans="1:28" ht="16.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</row>
    <row r="369" spans="1:28" ht="16.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</row>
    <row r="370" spans="1:28" ht="16.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</row>
    <row r="371" spans="1:28" ht="16.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</row>
    <row r="372" spans="1:28" ht="16.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</row>
    <row r="373" spans="1:28" ht="16.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</row>
    <row r="374" spans="1:28" ht="16.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</row>
    <row r="375" spans="1:28" ht="16.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</row>
    <row r="376" spans="1:28" ht="16.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</row>
    <row r="377" spans="1:28" ht="16.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</row>
    <row r="378" spans="1:28" ht="16.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</row>
    <row r="379" spans="1:28" ht="16.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</row>
    <row r="380" spans="1:28" ht="16.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</row>
    <row r="381" spans="1:28" ht="16.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</row>
    <row r="382" spans="1:28" ht="16.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</row>
    <row r="383" spans="1:28" ht="16.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</row>
    <row r="384" spans="1:28" ht="16.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</row>
    <row r="385" spans="1:28" ht="16.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</row>
    <row r="386" spans="1:28" ht="16.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</row>
    <row r="387" spans="1:28" ht="16.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</row>
    <row r="388" spans="1:28" ht="16.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</row>
    <row r="389" spans="1:28" ht="16.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</row>
    <row r="390" spans="1:28" ht="16.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</row>
    <row r="391" spans="1:28" ht="16.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</row>
    <row r="392" spans="1:28" ht="16.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</row>
    <row r="393" spans="1:28" ht="16.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</row>
    <row r="394" spans="1:28" ht="16.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</row>
    <row r="395" spans="1:28" ht="16.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</row>
    <row r="396" spans="1:28" ht="16.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</row>
    <row r="397" spans="1:28" ht="16.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</row>
    <row r="398" spans="1:28" ht="16.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</row>
    <row r="399" spans="1:28" ht="16.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</row>
    <row r="400" spans="1:28" ht="16.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</row>
    <row r="401" spans="1:28" ht="16.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</row>
    <row r="402" spans="1:28" ht="16.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</row>
    <row r="403" spans="1:28" ht="16.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</row>
    <row r="404" spans="1:28" ht="16.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</row>
    <row r="405" spans="1:28" ht="16.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</row>
    <row r="406" spans="1:28" ht="16.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</row>
    <row r="407" spans="1:28" ht="16.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</row>
    <row r="408" spans="1:28" ht="16.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</row>
    <row r="409" spans="1:28" ht="16.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</row>
    <row r="410" spans="1:28" ht="16.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</row>
    <row r="411" spans="1:28" ht="16.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</row>
    <row r="412" spans="1:28" ht="16.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</row>
    <row r="413" spans="1:28" ht="16.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</row>
    <row r="414" spans="1:28" ht="16.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</row>
    <row r="415" spans="1:28" ht="16.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</row>
    <row r="416" spans="1:28" ht="16.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</row>
    <row r="417" spans="1:28" ht="16.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</row>
    <row r="418" spans="1:28" ht="16.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</row>
    <row r="419" spans="1:28" ht="16.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</row>
    <row r="420" spans="1:28" ht="16.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</row>
    <row r="421" spans="1:28" ht="16.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</row>
    <row r="422" spans="1:28" ht="16.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</row>
    <row r="423" spans="1:28" ht="16.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</row>
    <row r="424" spans="1:28" ht="16.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</row>
    <row r="425" spans="1:28" ht="16.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</row>
    <row r="426" spans="1:28" ht="16.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</row>
    <row r="427" spans="1:28" ht="16.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</row>
    <row r="428" spans="1:28" ht="16.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</row>
    <row r="429" spans="1:28" ht="16.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</row>
    <row r="430" spans="1:28" ht="16.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</row>
    <row r="431" spans="1:28" ht="16.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</row>
    <row r="432" spans="1:28" ht="16.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</row>
    <row r="433" spans="1:28" ht="16.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</row>
    <row r="434" spans="1:28" ht="16.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</row>
    <row r="435" spans="1:28" ht="16.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</row>
    <row r="436" spans="1:28" ht="16.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</row>
    <row r="437" spans="1:28" ht="16.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</row>
    <row r="438" spans="1:28" ht="16.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</row>
    <row r="439" spans="1:28" ht="16.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</row>
    <row r="440" spans="1:28" ht="16.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</row>
    <row r="441" spans="1:28" ht="16.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</row>
    <row r="442" spans="1:28" ht="16.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</row>
    <row r="443" spans="1:28" ht="16.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</row>
    <row r="444" spans="1:28" ht="16.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</row>
    <row r="445" spans="1:28" ht="16.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</row>
    <row r="446" spans="1:28" ht="16.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</row>
    <row r="447" spans="1:28" ht="16.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</row>
    <row r="448" spans="1:28" ht="16.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</row>
    <row r="449" spans="1:28" ht="16.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</row>
    <row r="450" spans="1:28" ht="16.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</row>
    <row r="451" spans="1:28" ht="16.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</row>
    <row r="452" spans="1:28" ht="16.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</row>
    <row r="453" spans="1:28" ht="16.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</row>
    <row r="454" spans="1:28" ht="16.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</row>
    <row r="455" spans="1:28" ht="16.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</row>
    <row r="456" spans="1:28" ht="16.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</row>
    <row r="457" spans="1:28" ht="16.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</row>
    <row r="458" spans="1:28" ht="16.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</row>
    <row r="459" spans="1:28" ht="16.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</row>
    <row r="460" spans="1:28" ht="16.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</row>
    <row r="461" spans="1:28" ht="16.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</row>
    <row r="462" spans="1:28" ht="16.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</row>
    <row r="463" spans="1:28" ht="16.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</row>
    <row r="464" spans="1:28" ht="16.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</row>
    <row r="465" spans="1:28" ht="16.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</row>
    <row r="466" spans="1:28" ht="16.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</row>
    <row r="467" spans="1:28" ht="16.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</row>
    <row r="468" spans="1:28" ht="16.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</row>
    <row r="469" spans="1:28" ht="16.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</row>
    <row r="470" spans="1:28" ht="16.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</row>
    <row r="471" spans="1:28" ht="16.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</row>
    <row r="472" spans="1:28" ht="16.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</row>
    <row r="473" spans="1:28" ht="16.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</row>
    <row r="474" spans="1:28" ht="16.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</row>
    <row r="475" spans="1:28" ht="16.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</row>
    <row r="476" spans="1:28" ht="16.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</row>
    <row r="477" spans="1:28" ht="16.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</row>
    <row r="478" spans="1:28" ht="16.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</row>
    <row r="479" spans="1:28" ht="16.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</row>
    <row r="480" spans="1:28" ht="16.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</row>
    <row r="481" spans="1:28" ht="16.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</row>
    <row r="482" spans="1:28" ht="16.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</row>
    <row r="483" spans="1:28" ht="16.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</row>
    <row r="484" spans="1:28" ht="16.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</row>
    <row r="485" spans="1:28" ht="16.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</row>
    <row r="486" spans="1:28" ht="16.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</row>
    <row r="487" spans="1:28" ht="16.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</row>
    <row r="488" spans="1:28" ht="16.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</row>
    <row r="489" spans="1:28" ht="16.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</row>
    <row r="490" spans="1:28" ht="16.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</row>
    <row r="491" spans="1:28" ht="16.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</row>
    <row r="492" spans="1:28" ht="16.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</row>
    <row r="493" spans="1:28" ht="16.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</row>
    <row r="494" spans="1:28" ht="16.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</row>
    <row r="495" spans="1:28" ht="16.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</row>
    <row r="496" spans="1:28" ht="16.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</row>
    <row r="497" spans="1:28" ht="16.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</row>
    <row r="498" spans="1:28" ht="16.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</row>
    <row r="499" spans="1:28" ht="16.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</row>
    <row r="500" spans="1:28" ht="16.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</row>
  </sheetData>
  <sheetProtection password="DF07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" right="0.7" top="0.75" bottom="0.75" header="0.3" footer="0.3"/>
  <pageSetup paperSize="9" orientation="portrait" r:id="rId1"/>
  <ignoredErrors>
    <ignoredError sqref="AA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Flujos de fondo MIN</vt:lpstr>
      <vt:lpstr>Calculadora VDFA</vt:lpstr>
      <vt:lpstr>Calculadora VDFB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Terre, Rodrigo (AR - Rosario)</dc:creator>
  <cp:lastModifiedBy>Luis Jose Gomez Tovar</cp:lastModifiedBy>
  <cp:lastPrinted>2013-06-26T13:21:03Z</cp:lastPrinted>
  <dcterms:created xsi:type="dcterms:W3CDTF">2013-06-25T22:55:10Z</dcterms:created>
  <dcterms:modified xsi:type="dcterms:W3CDTF">2022-08-12T15:36:20Z</dcterms:modified>
</cp:coreProperties>
</file>