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REDITO DIRECTO\ON CLASE 20 Y 21\Difusion\"/>
    </mc:Choice>
  </mc:AlternateContent>
  <bookViews>
    <workbookView xWindow="0" yWindow="0" windowWidth="25200" windowHeight="11490"/>
  </bookViews>
  <sheets>
    <sheet name="XX (ARS)" sheetId="12" r:id="rId1"/>
    <sheet name="XX (ARS) Canje" sheetId="20" r:id="rId2"/>
    <sheet name="XXI (ARS)" sheetId="13" r:id="rId3"/>
    <sheet name="XXI (ARS) Canje" sheetId="15" r:id="rId4"/>
    <sheet name="RdC ON X Clase XX" sheetId="17" r:id="rId5"/>
    <sheet name="RdC ON X Clase XXI" sheetId="18" r:id="rId6"/>
    <sheet name="Feriados" sheetId="5" state="hidden" r:id="rId7"/>
    <sheet name="Hoja2" sheetId="7" state="hidden" r:id="rId8"/>
  </sheets>
  <externalReferences>
    <externalReference r:id="rId9"/>
  </externalReferences>
  <definedNames>
    <definedName name="_xlnm.Print_Area" localSheetId="0">'XX (ARS)'!$E$1:$Q$42</definedName>
    <definedName name="_xlnm.Print_Area" localSheetId="1">'XX (ARS) Canje'!$E$1:$Q$43</definedName>
    <definedName name="_xlnm.Print_Area" localSheetId="2">'XXI (ARS)'!$E$1:$Q$50</definedName>
    <definedName name="_xlnm.Print_Area" localSheetId="3">'XXI (ARS) Canje'!$E$1:$Q$51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5" l="1"/>
  <c r="O34" i="15"/>
  <c r="O33" i="15"/>
  <c r="O32" i="15"/>
  <c r="O31" i="15"/>
  <c r="O29" i="20"/>
  <c r="O30" i="20"/>
  <c r="O31" i="20"/>
  <c r="O28" i="20"/>
  <c r="O27" i="20"/>
  <c r="L10" i="20"/>
  <c r="P15" i="20"/>
  <c r="L33" i="20"/>
  <c r="R32" i="20"/>
  <c r="P31" i="20"/>
  <c r="J31" i="20"/>
  <c r="P30" i="20"/>
  <c r="J30" i="20"/>
  <c r="P29" i="20"/>
  <c r="J29" i="20"/>
  <c r="M28" i="20"/>
  <c r="M29" i="20" s="1"/>
  <c r="M30" i="20" s="1"/>
  <c r="M31" i="20" s="1"/>
  <c r="J28" i="20"/>
  <c r="R27" i="20"/>
  <c r="N27" i="20"/>
  <c r="T27" i="20" s="1"/>
  <c r="J27" i="20"/>
  <c r="J26" i="20" s="1"/>
  <c r="F27" i="20"/>
  <c r="F28" i="20" s="1"/>
  <c r="C27" i="20"/>
  <c r="M26" i="20"/>
  <c r="K21" i="20"/>
  <c r="K20" i="20"/>
  <c r="K19" i="20"/>
  <c r="K18" i="20"/>
  <c r="K22" i="20" s="1"/>
  <c r="H14" i="20"/>
  <c r="E27" i="20" s="1"/>
  <c r="P15" i="15"/>
  <c r="B28" i="20" l="1"/>
  <c r="F29" i="20"/>
  <c r="G28" i="20"/>
  <c r="H28" i="20"/>
  <c r="K28" i="20" s="1"/>
  <c r="L18" i="20" s="1"/>
  <c r="C28" i="20"/>
  <c r="C29" i="20" s="1"/>
  <c r="C30" i="20" s="1"/>
  <c r="C31" i="20" s="1"/>
  <c r="B31" i="20"/>
  <c r="M18" i="20"/>
  <c r="G27" i="20"/>
  <c r="B30" i="20"/>
  <c r="C13" i="18"/>
  <c r="C5" i="18"/>
  <c r="H4" i="18"/>
  <c r="C6" i="18" s="1"/>
  <c r="C8" i="18" s="1"/>
  <c r="C11" i="18" s="1"/>
  <c r="C12" i="18" s="1"/>
  <c r="C14" i="18" s="1"/>
  <c r="C13" i="17"/>
  <c r="H4" i="17"/>
  <c r="C6" i="17" s="1"/>
  <c r="C8" i="17" s="1"/>
  <c r="C11" i="17" s="1"/>
  <c r="C12" i="17" s="1"/>
  <c r="B29" i="20" l="1"/>
  <c r="F30" i="20"/>
  <c r="H29" i="20"/>
  <c r="K29" i="20" s="1"/>
  <c r="L19" i="20" s="1"/>
  <c r="M19" i="20" s="1"/>
  <c r="G29" i="20"/>
  <c r="J18" i="20"/>
  <c r="I18" i="20" s="1"/>
  <c r="N28" i="20"/>
  <c r="I28" i="20"/>
  <c r="R28" i="20" s="1"/>
  <c r="E28" i="20"/>
  <c r="C14" i="17"/>
  <c r="L41" i="15"/>
  <c r="R40" i="15"/>
  <c r="P39" i="15"/>
  <c r="J39" i="15" s="1"/>
  <c r="P38" i="15"/>
  <c r="J38" i="15" s="1"/>
  <c r="P37" i="15"/>
  <c r="J37" i="15" s="1"/>
  <c r="P36" i="15"/>
  <c r="J36" i="15"/>
  <c r="P35" i="15"/>
  <c r="J35" i="15" s="1"/>
  <c r="P34" i="15"/>
  <c r="J34" i="15" s="1"/>
  <c r="P33" i="15"/>
  <c r="J33" i="15" s="1"/>
  <c r="M32" i="15"/>
  <c r="M33" i="15" s="1"/>
  <c r="M34" i="15" s="1"/>
  <c r="M35" i="15" s="1"/>
  <c r="M36" i="15" s="1"/>
  <c r="M37" i="15" s="1"/>
  <c r="J32" i="15"/>
  <c r="C32" i="15"/>
  <c r="C33" i="15" s="1"/>
  <c r="T31" i="15"/>
  <c r="R31" i="15"/>
  <c r="N31" i="15"/>
  <c r="J31" i="15"/>
  <c r="J30" i="15" s="1"/>
  <c r="F31" i="15"/>
  <c r="F32" i="15" s="1"/>
  <c r="B32" i="15"/>
  <c r="M30" i="15"/>
  <c r="H14" i="15"/>
  <c r="E31" i="15" s="1"/>
  <c r="T28" i="20" l="1"/>
  <c r="F31" i="20"/>
  <c r="H30" i="20"/>
  <c r="K30" i="20" s="1"/>
  <c r="L20" i="20" s="1"/>
  <c r="M20" i="20" s="1"/>
  <c r="G30" i="20"/>
  <c r="J19" i="20"/>
  <c r="I19" i="20" s="1"/>
  <c r="N29" i="20"/>
  <c r="I29" i="20"/>
  <c r="R29" i="20" s="1"/>
  <c r="E29" i="20"/>
  <c r="K20" i="15"/>
  <c r="K23" i="15"/>
  <c r="K18" i="15"/>
  <c r="K25" i="15"/>
  <c r="K21" i="15"/>
  <c r="K19" i="15"/>
  <c r="K22" i="15"/>
  <c r="K24" i="15"/>
  <c r="C34" i="15"/>
  <c r="C35" i="15" s="1"/>
  <c r="B33" i="15"/>
  <c r="F33" i="15"/>
  <c r="G32" i="15"/>
  <c r="H32" i="15"/>
  <c r="K32" i="15" s="1"/>
  <c r="L18" i="15" s="1"/>
  <c r="M38" i="15"/>
  <c r="M39" i="15"/>
  <c r="G31" i="15"/>
  <c r="B34" i="15"/>
  <c r="H14" i="12"/>
  <c r="H31" i="20" l="1"/>
  <c r="K31" i="20" s="1"/>
  <c r="L21" i="20" s="1"/>
  <c r="M21" i="20" s="1"/>
  <c r="G31" i="20"/>
  <c r="L22" i="20"/>
  <c r="M22" i="20" s="1"/>
  <c r="T29" i="20"/>
  <c r="N30" i="20"/>
  <c r="I30" i="20"/>
  <c r="R30" i="20" s="1"/>
  <c r="E30" i="20"/>
  <c r="J20" i="20"/>
  <c r="I20" i="20" s="1"/>
  <c r="K26" i="15"/>
  <c r="F34" i="15"/>
  <c r="H33" i="15"/>
  <c r="K33" i="15" s="1"/>
  <c r="G33" i="15"/>
  <c r="C36" i="15"/>
  <c r="B35" i="15"/>
  <c r="M18" i="15"/>
  <c r="N32" i="15"/>
  <c r="E32" i="15"/>
  <c r="J18" i="15"/>
  <c r="I18" i="15" s="1"/>
  <c r="I32" i="15"/>
  <c r="R32" i="15" s="1"/>
  <c r="L40" i="13"/>
  <c r="R39" i="13"/>
  <c r="P38" i="13"/>
  <c r="J38" i="13" s="1"/>
  <c r="P37" i="13"/>
  <c r="J37" i="13" s="1"/>
  <c r="P36" i="13"/>
  <c r="J36" i="13" s="1"/>
  <c r="P35" i="13"/>
  <c r="J35" i="13" s="1"/>
  <c r="P34" i="13"/>
  <c r="J34" i="13" s="1"/>
  <c r="P33" i="13"/>
  <c r="J33" i="13" s="1"/>
  <c r="P32" i="13"/>
  <c r="J32" i="13" s="1"/>
  <c r="M31" i="13"/>
  <c r="M32" i="13" s="1"/>
  <c r="M33" i="13" s="1"/>
  <c r="M34" i="13" s="1"/>
  <c r="M35" i="13" s="1"/>
  <c r="M36" i="13" s="1"/>
  <c r="J31" i="13"/>
  <c r="T30" i="13"/>
  <c r="R30" i="13"/>
  <c r="O30" i="13"/>
  <c r="N30" i="13"/>
  <c r="J30" i="13"/>
  <c r="F30" i="13"/>
  <c r="C30" i="13"/>
  <c r="C31" i="13" s="1"/>
  <c r="C32" i="13" s="1"/>
  <c r="M29" i="13"/>
  <c r="J29" i="13"/>
  <c r="K24" i="13"/>
  <c r="K23" i="13"/>
  <c r="K22" i="13"/>
  <c r="K21" i="13"/>
  <c r="K20" i="13"/>
  <c r="K19" i="13"/>
  <c r="K18" i="13"/>
  <c r="K17" i="13"/>
  <c r="H14" i="13"/>
  <c r="E30" i="13" s="1"/>
  <c r="N31" i="20" l="1"/>
  <c r="I31" i="20"/>
  <c r="R31" i="20" s="1"/>
  <c r="E31" i="20"/>
  <c r="J21" i="20"/>
  <c r="I21" i="20" s="1"/>
  <c r="H11" i="20"/>
  <c r="T30" i="20"/>
  <c r="L19" i="15"/>
  <c r="M19" i="15" s="1"/>
  <c r="J19" i="15"/>
  <c r="I19" i="15" s="1"/>
  <c r="N33" i="15"/>
  <c r="I33" i="15"/>
  <c r="R33" i="15" s="1"/>
  <c r="E33" i="15"/>
  <c r="T32" i="15"/>
  <c r="C37" i="15"/>
  <c r="B36" i="15"/>
  <c r="F35" i="15"/>
  <c r="H34" i="15"/>
  <c r="K34" i="15" s="1"/>
  <c r="L20" i="15" s="1"/>
  <c r="M20" i="15" s="1"/>
  <c r="G34" i="15"/>
  <c r="C33" i="13"/>
  <c r="C34" i="13" s="1"/>
  <c r="B32" i="13"/>
  <c r="M37" i="13"/>
  <c r="M38" i="13"/>
  <c r="F31" i="13"/>
  <c r="G30" i="13"/>
  <c r="K25" i="13"/>
  <c r="B31" i="13"/>
  <c r="P28" i="12"/>
  <c r="P29" i="12"/>
  <c r="P30" i="12"/>
  <c r="T31" i="20" l="1"/>
  <c r="I34" i="15"/>
  <c r="R34" i="15" s="1"/>
  <c r="N34" i="15"/>
  <c r="E34" i="15"/>
  <c r="J20" i="15"/>
  <c r="I20" i="15" s="1"/>
  <c r="C38" i="15"/>
  <c r="B37" i="15"/>
  <c r="T33" i="15"/>
  <c r="G35" i="15"/>
  <c r="F36" i="15"/>
  <c r="H35" i="15"/>
  <c r="K35" i="15" s="1"/>
  <c r="B33" i="13"/>
  <c r="F32" i="13"/>
  <c r="G31" i="13"/>
  <c r="H31" i="13"/>
  <c r="K31" i="13" s="1"/>
  <c r="L17" i="13" s="1"/>
  <c r="C35" i="13"/>
  <c r="B34" i="13"/>
  <c r="S32" i="20" l="1"/>
  <c r="S27" i="20"/>
  <c r="U27" i="20" s="1"/>
  <c r="V27" i="20" s="1"/>
  <c r="S31" i="20"/>
  <c r="U31" i="20" s="1"/>
  <c r="V31" i="20" s="1"/>
  <c r="S29" i="20"/>
  <c r="U29" i="20" s="1"/>
  <c r="V29" i="20" s="1"/>
  <c r="L11" i="20"/>
  <c r="S30" i="20"/>
  <c r="U30" i="20" s="1"/>
  <c r="V30" i="20" s="1"/>
  <c r="S28" i="20"/>
  <c r="U28" i="20" s="1"/>
  <c r="S25" i="20"/>
  <c r="O33" i="20"/>
  <c r="L21" i="15"/>
  <c r="M21" i="15" s="1"/>
  <c r="J21" i="15"/>
  <c r="I21" i="15" s="1"/>
  <c r="N35" i="15"/>
  <c r="I35" i="15"/>
  <c r="R35" i="15" s="1"/>
  <c r="E35" i="15"/>
  <c r="T34" i="15"/>
  <c r="F37" i="15"/>
  <c r="H36" i="15"/>
  <c r="K36" i="15" s="1"/>
  <c r="L22" i="15" s="1"/>
  <c r="G36" i="15"/>
  <c r="C39" i="15"/>
  <c r="B39" i="15" s="1"/>
  <c r="B38" i="15"/>
  <c r="M17" i="13"/>
  <c r="J17" i="13"/>
  <c r="I17" i="13" s="1"/>
  <c r="I31" i="13"/>
  <c r="R31" i="13" s="1"/>
  <c r="N31" i="13"/>
  <c r="E31" i="13"/>
  <c r="C36" i="13"/>
  <c r="B35" i="13"/>
  <c r="G32" i="13"/>
  <c r="F33" i="13"/>
  <c r="H32" i="13"/>
  <c r="K32" i="13" s="1"/>
  <c r="L18" i="13" s="1"/>
  <c r="M18" i="13" s="1"/>
  <c r="V28" i="20" l="1"/>
  <c r="V33" i="20" s="1"/>
  <c r="U33" i="20"/>
  <c r="M22" i="15"/>
  <c r="F38" i="15"/>
  <c r="G37" i="15"/>
  <c r="H37" i="15"/>
  <c r="K37" i="15" s="1"/>
  <c r="I36" i="15"/>
  <c r="R36" i="15" s="1"/>
  <c r="J22" i="15"/>
  <c r="I22" i="15" s="1"/>
  <c r="N36" i="15"/>
  <c r="O36" i="15" s="1"/>
  <c r="E36" i="15"/>
  <c r="T35" i="15"/>
  <c r="C37" i="13"/>
  <c r="B36" i="13"/>
  <c r="F34" i="13"/>
  <c r="H33" i="13"/>
  <c r="K33" i="13" s="1"/>
  <c r="L19" i="13" s="1"/>
  <c r="M19" i="13" s="1"/>
  <c r="G33" i="13"/>
  <c r="J18" i="13"/>
  <c r="I18" i="13" s="1"/>
  <c r="N32" i="13"/>
  <c r="I32" i="13"/>
  <c r="R32" i="13" s="1"/>
  <c r="E32" i="13"/>
  <c r="O31" i="13"/>
  <c r="T31" i="13"/>
  <c r="N26" i="12"/>
  <c r="L12" i="20" l="1"/>
  <c r="L23" i="15"/>
  <c r="M23" i="15" s="1"/>
  <c r="T36" i="15"/>
  <c r="J23" i="15"/>
  <c r="I23" i="15" s="1"/>
  <c r="N37" i="15"/>
  <c r="O37" i="15" s="1"/>
  <c r="I37" i="15"/>
  <c r="R37" i="15" s="1"/>
  <c r="E37" i="15"/>
  <c r="F39" i="15"/>
  <c r="H38" i="15"/>
  <c r="K38" i="15" s="1"/>
  <c r="G38" i="15"/>
  <c r="T32" i="13"/>
  <c r="O32" i="13"/>
  <c r="F35" i="13"/>
  <c r="H34" i="13"/>
  <c r="K34" i="13" s="1"/>
  <c r="L20" i="13" s="1"/>
  <c r="G34" i="13"/>
  <c r="N33" i="13"/>
  <c r="E33" i="13"/>
  <c r="J19" i="13"/>
  <c r="I19" i="13" s="1"/>
  <c r="I33" i="13"/>
  <c r="R33" i="13" s="1"/>
  <c r="C38" i="13"/>
  <c r="B38" i="13" s="1"/>
  <c r="B37" i="13"/>
  <c r="K18" i="12"/>
  <c r="K19" i="12"/>
  <c r="K20" i="12"/>
  <c r="J29" i="12"/>
  <c r="J30" i="12"/>
  <c r="J27" i="12"/>
  <c r="L24" i="15" l="1"/>
  <c r="M24" i="15" s="1"/>
  <c r="G39" i="15"/>
  <c r="H39" i="15"/>
  <c r="K39" i="15" s="1"/>
  <c r="T37" i="15"/>
  <c r="N38" i="15"/>
  <c r="O38" i="15" s="1"/>
  <c r="E38" i="15"/>
  <c r="I38" i="15"/>
  <c r="R38" i="15" s="1"/>
  <c r="J24" i="15"/>
  <c r="I24" i="15" s="1"/>
  <c r="T33" i="13"/>
  <c r="O33" i="13"/>
  <c r="N34" i="13"/>
  <c r="I34" i="13"/>
  <c r="R34" i="13" s="1"/>
  <c r="E34" i="13"/>
  <c r="J20" i="13"/>
  <c r="I20" i="13" s="1"/>
  <c r="F36" i="13"/>
  <c r="H35" i="13"/>
  <c r="K35" i="13" s="1"/>
  <c r="L21" i="13" s="1"/>
  <c r="M21" i="13" s="1"/>
  <c r="G35" i="13"/>
  <c r="M20" i="13"/>
  <c r="J28" i="12"/>
  <c r="L25" i="15" l="1"/>
  <c r="M25" i="15" s="1"/>
  <c r="T38" i="15"/>
  <c r="J25" i="15"/>
  <c r="I25" i="15" s="1"/>
  <c r="H11" i="15"/>
  <c r="N39" i="15"/>
  <c r="O39" i="15" s="1"/>
  <c r="I39" i="15"/>
  <c r="R39" i="15" s="1"/>
  <c r="E39" i="15"/>
  <c r="F37" i="13"/>
  <c r="H36" i="13"/>
  <c r="K36" i="13" s="1"/>
  <c r="L22" i="13" s="1"/>
  <c r="M22" i="13" s="1"/>
  <c r="G36" i="13"/>
  <c r="T34" i="13"/>
  <c r="O34" i="13"/>
  <c r="J21" i="13"/>
  <c r="I21" i="13" s="1"/>
  <c r="N35" i="13"/>
  <c r="E35" i="13"/>
  <c r="I35" i="13"/>
  <c r="R35" i="13" s="1"/>
  <c r="L32" i="12"/>
  <c r="R31" i="12"/>
  <c r="M27" i="12"/>
  <c r="R26" i="12"/>
  <c r="O26" i="12"/>
  <c r="T26" i="12"/>
  <c r="J26" i="12"/>
  <c r="J25" i="12" s="1"/>
  <c r="F26" i="12"/>
  <c r="G26" i="12" s="1"/>
  <c r="C26" i="12"/>
  <c r="M25" i="12"/>
  <c r="K17" i="12"/>
  <c r="E26" i="12"/>
  <c r="L26" i="15" l="1"/>
  <c r="M26" i="15" s="1"/>
  <c r="T39" i="15"/>
  <c r="L10" i="15"/>
  <c r="C27" i="12"/>
  <c r="F38" i="13"/>
  <c r="H37" i="13"/>
  <c r="K37" i="13" s="1"/>
  <c r="L23" i="13" s="1"/>
  <c r="M23" i="13" s="1"/>
  <c r="G37" i="13"/>
  <c r="T35" i="13"/>
  <c r="O35" i="13"/>
  <c r="J22" i="13"/>
  <c r="I22" i="13" s="1"/>
  <c r="N36" i="13"/>
  <c r="I36" i="13"/>
  <c r="R36" i="13" s="1"/>
  <c r="E36" i="13"/>
  <c r="M28" i="12"/>
  <c r="K21" i="12"/>
  <c r="S32" i="15" l="1"/>
  <c r="U32" i="15" s="1"/>
  <c r="S29" i="15"/>
  <c r="L11" i="15"/>
  <c r="O41" i="15"/>
  <c r="C28" i="12"/>
  <c r="C29" i="12" s="1"/>
  <c r="B27" i="12"/>
  <c r="H38" i="13"/>
  <c r="K38" i="13" s="1"/>
  <c r="L24" i="13" s="1"/>
  <c r="G38" i="13"/>
  <c r="T36" i="13"/>
  <c r="O36" i="13"/>
  <c r="E37" i="13"/>
  <c r="J23" i="13"/>
  <c r="I23" i="13" s="1"/>
  <c r="I37" i="13"/>
  <c r="R37" i="13" s="1"/>
  <c r="N37" i="13"/>
  <c r="M29" i="12"/>
  <c r="S40" i="15" l="1"/>
  <c r="S31" i="15"/>
  <c r="U31" i="15" s="1"/>
  <c r="V31" i="15" s="1"/>
  <c r="S38" i="15"/>
  <c r="U38" i="15" s="1"/>
  <c r="V38" i="15" s="1"/>
  <c r="S36" i="15"/>
  <c r="U36" i="15" s="1"/>
  <c r="V36" i="15" s="1"/>
  <c r="S34" i="15"/>
  <c r="U34" i="15" s="1"/>
  <c r="V34" i="15" s="1"/>
  <c r="S39" i="15"/>
  <c r="U39" i="15" s="1"/>
  <c r="V39" i="15" s="1"/>
  <c r="S37" i="15"/>
  <c r="U37" i="15" s="1"/>
  <c r="V37" i="15" s="1"/>
  <c r="S35" i="15"/>
  <c r="U35" i="15" s="1"/>
  <c r="V35" i="15" s="1"/>
  <c r="S33" i="15"/>
  <c r="U33" i="15" s="1"/>
  <c r="V33" i="15" s="1"/>
  <c r="C30" i="12"/>
  <c r="B29" i="12"/>
  <c r="B28" i="12"/>
  <c r="M24" i="13"/>
  <c r="L25" i="13"/>
  <c r="M25" i="13" s="1"/>
  <c r="N38" i="13"/>
  <c r="I38" i="13"/>
  <c r="R38" i="13" s="1"/>
  <c r="E38" i="13"/>
  <c r="H11" i="13"/>
  <c r="J24" i="13"/>
  <c r="I24" i="13" s="1"/>
  <c r="T37" i="13"/>
  <c r="O37" i="13"/>
  <c r="M30" i="12"/>
  <c r="V32" i="15" l="1"/>
  <c r="V41" i="15" s="1"/>
  <c r="U41" i="15"/>
  <c r="B30" i="12"/>
  <c r="T38" i="13"/>
  <c r="O38" i="13"/>
  <c r="O40" i="13" s="1"/>
  <c r="L10" i="13"/>
  <c r="L12" i="15" l="1"/>
  <c r="S39" i="13"/>
  <c r="S30" i="13"/>
  <c r="U30" i="13" s="1"/>
  <c r="V30" i="13" s="1"/>
  <c r="L11" i="13"/>
  <c r="S38" i="13"/>
  <c r="U38" i="13" s="1"/>
  <c r="V38" i="13" s="1"/>
  <c r="S36" i="13"/>
  <c r="U36" i="13" s="1"/>
  <c r="V36" i="13" s="1"/>
  <c r="S34" i="13"/>
  <c r="U34" i="13" s="1"/>
  <c r="V34" i="13" s="1"/>
  <c r="S32" i="13"/>
  <c r="U32" i="13" s="1"/>
  <c r="V32" i="13" s="1"/>
  <c r="S31" i="13"/>
  <c r="U31" i="13" s="1"/>
  <c r="S35" i="13"/>
  <c r="U35" i="13" s="1"/>
  <c r="V35" i="13" s="1"/>
  <c r="S37" i="13"/>
  <c r="U37" i="13" s="1"/>
  <c r="V37" i="13" s="1"/>
  <c r="S28" i="13"/>
  <c r="S33" i="13"/>
  <c r="U33" i="13" s="1"/>
  <c r="V33" i="13" s="1"/>
  <c r="V31" i="13" l="1"/>
  <c r="V40" i="13" s="1"/>
  <c r="U40" i="13"/>
  <c r="L12" i="13" l="1"/>
  <c r="D2" i="7"/>
  <c r="F27" i="12"/>
  <c r="F28" i="12" s="1"/>
  <c r="G28" i="12" l="1"/>
  <c r="F29" i="12"/>
  <c r="H28" i="12"/>
  <c r="K28" i="12" s="1"/>
  <c r="L18" i="12" s="1"/>
  <c r="M18" i="12" s="1"/>
  <c r="G27" i="12"/>
  <c r="H27" i="12"/>
  <c r="K27" i="12" s="1"/>
  <c r="L17" i="12" s="1"/>
  <c r="F30" i="12" l="1"/>
  <c r="H30" i="12" s="1"/>
  <c r="H29" i="12"/>
  <c r="K29" i="12" s="1"/>
  <c r="L19" i="12" s="1"/>
  <c r="M19" i="12" s="1"/>
  <c r="G29" i="12"/>
  <c r="E27" i="12"/>
  <c r="J17" i="12"/>
  <c r="I17" i="12" s="1"/>
  <c r="I27" i="12"/>
  <c r="R27" i="12" s="1"/>
  <c r="N27" i="12"/>
  <c r="M17" i="12"/>
  <c r="N28" i="12"/>
  <c r="I28" i="12"/>
  <c r="R28" i="12" s="1"/>
  <c r="J18" i="12"/>
  <c r="I18" i="12" s="1"/>
  <c r="E28" i="12"/>
  <c r="O27" i="12" l="1"/>
  <c r="T27" i="12"/>
  <c r="N29" i="12"/>
  <c r="J19" i="12"/>
  <c r="I19" i="12" s="1"/>
  <c r="E29" i="12"/>
  <c r="I29" i="12"/>
  <c r="R29" i="12" s="1"/>
  <c r="T28" i="12"/>
  <c r="O28" i="12"/>
  <c r="G30" i="12"/>
  <c r="H11" i="12" s="1"/>
  <c r="K30" i="12"/>
  <c r="L20" i="12" s="1"/>
  <c r="T29" i="12" l="1"/>
  <c r="O29" i="12"/>
  <c r="M20" i="12"/>
  <c r="E30" i="12"/>
  <c r="J20" i="12"/>
  <c r="I20" i="12" s="1"/>
  <c r="I30" i="12"/>
  <c r="R30" i="12" s="1"/>
  <c r="N30" i="12"/>
  <c r="O30" i="12" l="1"/>
  <c r="T30" i="12"/>
  <c r="L21" i="12" l="1"/>
  <c r="M21" i="12" s="1"/>
  <c r="L10" i="12" l="1"/>
  <c r="L11" i="12" l="1"/>
  <c r="S31" i="12"/>
  <c r="O32" i="12"/>
  <c r="S29" i="12" l="1"/>
  <c r="U29" i="12" s="1"/>
  <c r="V29" i="12" s="1"/>
  <c r="S30" i="12"/>
  <c r="U30" i="12" s="1"/>
  <c r="V30" i="12" s="1"/>
  <c r="S28" i="12"/>
  <c r="U28" i="12" s="1"/>
  <c r="V28" i="12" s="1"/>
  <c r="S26" i="12"/>
  <c r="U26" i="12" s="1"/>
  <c r="V26" i="12" s="1"/>
  <c r="S24" i="12"/>
  <c r="S27" i="12"/>
  <c r="U27" i="12" s="1"/>
  <c r="U32" i="12" s="1"/>
  <c r="V27" i="12" l="1"/>
  <c r="V32" i="12" s="1"/>
  <c r="L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8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3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4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a licitar</t>
        </r>
      </text>
    </comment>
    <comment ref="P32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<sst xmlns="http://schemas.openxmlformats.org/spreadsheetml/2006/main" count="204" uniqueCount="61">
  <si>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</si>
  <si>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</si>
  <si>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</si>
  <si>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</si>
  <si>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</si>
  <si>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</si>
  <si>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</si>
  <si>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</si>
  <si>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</si>
  <si>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</si>
  <si>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</si>
  <si>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</si>
  <si>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</si>
  <si>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</si>
  <si>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</si>
  <si>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</si>
  <si>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</si>
  <si>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</si>
  <si>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</si>
  <si>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</si>
  <si>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</si>
  <si>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</si>
  <si>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</si>
  <si>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</si>
  <si>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</si>
  <si>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</si>
  <si>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</si>
  <si>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</si>
  <si>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</si>
  <si>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</si>
  <si>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</si>
  <si>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</si>
  <si>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</si>
  <si>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</si>
  <si>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</si>
  <si>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</si>
  <si>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Trimestrales</t>
  </si>
  <si>
    <t>Precio:</t>
  </si>
  <si>
    <t>Meses</t>
  </si>
  <si>
    <t>A3</t>
  </si>
  <si>
    <t>Margen s/badlar</t>
  </si>
  <si>
    <t>Mes</t>
  </si>
  <si>
    <t>BBB</t>
  </si>
  <si>
    <t>Último Pago de Intereses</t>
  </si>
  <si>
    <t>Badlar</t>
  </si>
  <si>
    <t>Monto</t>
  </si>
  <si>
    <t>Interés devengado a la Fecha de Canje</t>
  </si>
  <si>
    <t>Relación de Canje a Valor Técnico</t>
  </si>
  <si>
    <t>Prima de Canje</t>
  </si>
  <si>
    <t>Relación de Canje con Prima</t>
  </si>
  <si>
    <t>Relación de Canje</t>
  </si>
  <si>
    <t>Valor</t>
  </si>
  <si>
    <t>Fecha de Emisión ON Clase XX</t>
  </si>
  <si>
    <t>Margen ON Clase X</t>
  </si>
  <si>
    <t>Cupón ON Clase X</t>
  </si>
  <si>
    <t>Fecha de Emisión ON Clase XXI</t>
  </si>
  <si>
    <t>V/N a entegar ON X:</t>
  </si>
  <si>
    <t>V/N a suscribir ON XXI:</t>
  </si>
  <si>
    <t>ON Credito Directo XX (Badlar 12 meses)</t>
  </si>
  <si>
    <t>V/N a suscribir ON XX:</t>
  </si>
  <si>
    <t>ON Credito Directo XXI (Badlar 24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</si>
</sst>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0.000000"/>
    <numFmt numFmtId="174" formatCode="0.000"/>
    <numFmt numFmtId="175" formatCode="_ * #,##0_ ;_ * \-#,##0_ ;_ * &quot;-&quot;??_ ;_ @_ "/>
    <numFmt numFmtId="176" formatCode="0.000%"/>
    <numFmt numFmtId="177" formatCode="0.0000"/>
    <numFmt numFmtId="178" formatCode="0.00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  <font>
      <b/>
      <sz val="11"/>
      <color rgb="FF333333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rgb="FF333333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</cellStyleXfs>
  <cellXfs count="207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166" fontId="2" fillId="3" borderId="0" xfId="3" applyNumberFormat="1" applyFont="1" applyFill="1" applyBorder="1" applyAlignment="1" applyProtection="1">
      <alignment horizontal="center"/>
    </xf>
    <xf numFmtId="166" fontId="2" fillId="3" borderId="8" xfId="3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/>
    </xf>
    <xf numFmtId="166" fontId="3" fillId="4" borderId="6" xfId="3" applyNumberFormat="1" applyFont="1" applyFill="1" applyBorder="1" applyAlignment="1" applyProtection="1">
      <alignment horizontal="center"/>
    </xf>
    <xf numFmtId="15" fontId="3" fillId="3" borderId="7" xfId="0" applyNumberFormat="1" applyFont="1" applyFill="1" applyBorder="1" applyAlignment="1" applyProtection="1">
      <alignment horizontal="center"/>
    </xf>
    <xf numFmtId="4" fontId="3" fillId="3" borderId="6" xfId="2" applyNumberFormat="1" applyFont="1" applyFill="1" applyBorder="1" applyAlignment="1" applyProtection="1">
      <alignment horizontal="center"/>
    </xf>
    <xf numFmtId="4" fontId="3" fillId="3" borderId="7" xfId="2" applyNumberFormat="1" applyFont="1" applyFill="1" applyBorder="1" applyAlignment="1" applyProtection="1">
      <alignment horizontal="center"/>
    </xf>
    <xf numFmtId="4" fontId="3" fillId="3" borderId="6" xfId="0" applyNumberFormat="1" applyFont="1" applyFill="1" applyBorder="1" applyAlignment="1" applyProtection="1">
      <alignment horizontal="center"/>
    </xf>
    <xf numFmtId="15" fontId="2" fillId="3" borderId="7" xfId="0" applyNumberFormat="1" applyFont="1" applyFill="1" applyBorder="1" applyAlignment="1" applyProtection="1">
      <alignment horizontal="center"/>
    </xf>
    <xf numFmtId="4" fontId="10" fillId="0" borderId="5" xfId="2" applyNumberFormat="1" applyFont="1" applyFill="1" applyBorder="1" applyAlignment="1" applyProtection="1">
      <alignment horizontal="center"/>
    </xf>
    <xf numFmtId="4" fontId="10" fillId="0" borderId="8" xfId="2" applyNumberFormat="1" applyFont="1" applyFill="1" applyBorder="1" applyAlignment="1" applyProtection="1">
      <alignment horizontal="center"/>
    </xf>
    <xf numFmtId="4" fontId="10" fillId="0" borderId="6" xfId="0" applyNumberFormat="1" applyFont="1" applyFill="1" applyBorder="1" applyAlignment="1" applyProtection="1">
      <alignment horizontal="center"/>
    </xf>
    <xf numFmtId="170" fontId="2" fillId="2" borderId="0" xfId="2" applyNumberFormat="1" applyFont="1" applyFill="1" applyBorder="1" applyAlignment="1" applyProtection="1">
      <alignment horizontal="center"/>
    </xf>
    <xf numFmtId="0" fontId="14" fillId="0" borderId="0" xfId="5" applyFont="1" applyAlignment="1"/>
    <xf numFmtId="0" fontId="1" fillId="0" borderId="0" xfId="5" applyAlignment="1"/>
    <xf numFmtId="0" fontId="1" fillId="0" borderId="0" xfId="5" applyFont="1" applyFill="1" applyAlignment="1"/>
    <xf numFmtId="176" fontId="1" fillId="0" borderId="0" xfId="3" applyNumberFormat="1" applyFont="1" applyFill="1" applyAlignment="1">
      <alignment horizontal="center"/>
    </xf>
    <xf numFmtId="0" fontId="1" fillId="0" borderId="0" xfId="5" applyAlignment="1">
      <alignment horizontal="center"/>
    </xf>
    <xf numFmtId="0" fontId="1" fillId="0" borderId="0" xfId="5" applyFill="1" applyAlignment="1"/>
    <xf numFmtId="0" fontId="1" fillId="0" borderId="0" xfId="5" applyFont="1" applyAlignment="1"/>
    <xf numFmtId="14" fontId="1" fillId="0" borderId="0" xfId="5" applyNumberFormat="1" applyAlignment="1"/>
    <xf numFmtId="0" fontId="15" fillId="6" borderId="0" xfId="5" applyFont="1" applyFill="1" applyBorder="1" applyAlignment="1">
      <alignment horizontal="center" wrapText="1"/>
    </xf>
    <xf numFmtId="166" fontId="16" fillId="6" borderId="0" xfId="5" applyNumberFormat="1" applyFont="1" applyFill="1" applyBorder="1" applyAlignment="1">
      <alignment horizontal="center" wrapText="1"/>
    </xf>
    <xf numFmtId="0" fontId="17" fillId="6" borderId="15" xfId="5" applyFont="1" applyFill="1" applyBorder="1" applyAlignment="1">
      <alignment horizontal="center" wrapText="1"/>
    </xf>
    <xf numFmtId="14" fontId="1" fillId="8" borderId="0" xfId="3" applyNumberFormat="1" applyFont="1" applyFill="1" applyAlignment="1"/>
    <xf numFmtId="14" fontId="1" fillId="0" borderId="0" xfId="5" applyNumberFormat="1" applyFill="1" applyAlignment="1"/>
    <xf numFmtId="14" fontId="18" fillId="6" borderId="0" xfId="5" applyNumberFormat="1" applyFont="1" applyFill="1" applyBorder="1" applyAlignment="1">
      <alignment horizontal="center" vertical="center" wrapText="1"/>
    </xf>
    <xf numFmtId="166" fontId="18" fillId="6" borderId="0" xfId="3" applyNumberFormat="1" applyFont="1" applyFill="1" applyBorder="1" applyAlignment="1">
      <alignment horizontal="center" vertical="center" wrapText="1"/>
    </xf>
    <xf numFmtId="166" fontId="1" fillId="0" borderId="0" xfId="5" applyNumberFormat="1" applyAlignment="1"/>
    <xf numFmtId="14" fontId="19" fillId="6" borderId="16" xfId="5" applyNumberFormat="1" applyFont="1" applyFill="1" applyBorder="1" applyAlignment="1">
      <alignment vertical="center" wrapText="1"/>
    </xf>
    <xf numFmtId="166" fontId="19" fillId="6" borderId="16" xfId="3" applyNumberFormat="1" applyFont="1" applyFill="1" applyBorder="1" applyAlignment="1">
      <alignment horizontal="right" vertical="center" wrapText="1"/>
    </xf>
    <xf numFmtId="166" fontId="1" fillId="3" borderId="0" xfId="3" applyNumberFormat="1" applyFont="1" applyFill="1" applyAlignment="1"/>
    <xf numFmtId="0" fontId="20" fillId="0" borderId="0" xfId="5" applyFont="1" applyAlignment="1"/>
    <xf numFmtId="166" fontId="1" fillId="0" borderId="0" xfId="5" applyNumberFormat="1" applyFill="1" applyAlignment="1"/>
    <xf numFmtId="9" fontId="0" fillId="0" borderId="0" xfId="3" applyFont="1" applyAlignment="1"/>
    <xf numFmtId="174" fontId="1" fillId="0" borderId="0" xfId="5" applyNumberFormat="1" applyAlignment="1"/>
    <xf numFmtId="14" fontId="18" fillId="0" borderId="0" xfId="5" applyNumberFormat="1" applyFont="1" applyFill="1" applyBorder="1" applyAlignment="1">
      <alignment horizontal="center" vertical="center" wrapText="1"/>
    </xf>
    <xf numFmtId="166" fontId="18" fillId="0" borderId="0" xfId="3" applyNumberFormat="1" applyFont="1" applyFill="1" applyBorder="1" applyAlignment="1">
      <alignment horizontal="center" vertical="center" wrapText="1"/>
    </xf>
    <xf numFmtId="173" fontId="14" fillId="0" borderId="0" xfId="5" applyNumberFormat="1" applyFont="1" applyAlignment="1"/>
    <xf numFmtId="10" fontId="1" fillId="9" borderId="0" xfId="3" applyNumberFormat="1" applyFont="1" applyFill="1" applyAlignment="1"/>
    <xf numFmtId="177" fontId="20" fillId="0" borderId="0" xfId="5" applyNumberFormat="1" applyFont="1" applyAlignment="1"/>
    <xf numFmtId="177" fontId="14" fillId="7" borderId="0" xfId="5" applyNumberFormat="1" applyFont="1" applyFill="1" applyAlignment="1"/>
    <xf numFmtId="10" fontId="0" fillId="0" borderId="0" xfId="3" applyNumberFormat="1" applyFont="1" applyAlignment="1"/>
    <xf numFmtId="178" fontId="1" fillId="0" borderId="0" xfId="5" applyNumberFormat="1" applyAlignment="1"/>
    <xf numFmtId="166" fontId="21" fillId="0" borderId="0" xfId="5" applyNumberFormat="1" applyFont="1" applyFill="1" applyAlignment="1">
      <alignment horizontal="center"/>
    </xf>
    <xf numFmtId="14" fontId="19" fillId="10" borderId="16" xfId="5" applyNumberFormat="1" applyFont="1" applyFill="1" applyBorder="1" applyAlignment="1">
      <alignment vertical="center" wrapText="1"/>
    </xf>
    <xf numFmtId="166" fontId="19" fillId="10" borderId="16" xfId="3" applyNumberFormat="1" applyFont="1" applyFill="1" applyBorder="1" applyAlignment="1">
      <alignment horizontal="right" vertical="center" wrapText="1"/>
    </xf>
    <xf numFmtId="166" fontId="19" fillId="10" borderId="16" xfId="5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 applyProtection="1">
      <alignment horizontal="right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0" fontId="3" fillId="4" borderId="6" xfId="3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 vertical="center"/>
      <protection locked="0"/>
    </xf>
    <xf numFmtId="169" fontId="3" fillId="4" borderId="12" xfId="0" applyNumberFormat="1" applyFont="1" applyFill="1" applyBorder="1" applyAlignment="1" applyProtection="1">
      <alignment horizontal="center" vertical="center"/>
      <protection locked="0"/>
    </xf>
    <xf numFmtId="165" fontId="3" fillId="3" borderId="0" xfId="2" applyNumberFormat="1" applyFont="1" applyFill="1" applyBorder="1" applyAlignment="1" applyProtection="1">
      <alignment horizontal="center"/>
      <protection locked="0"/>
    </xf>
    <xf numFmtId="165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10" fontId="3" fillId="4" borderId="0" xfId="3" applyNumberFormat="1" applyFont="1" applyFill="1" applyBorder="1" applyAlignment="1" applyProtection="1">
      <alignment horizontal="center"/>
      <protection locked="0"/>
    </xf>
    <xf numFmtId="10" fontId="4" fillId="4" borderId="12" xfId="3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175" fontId="3" fillId="5" borderId="8" xfId="1" applyNumberFormat="1" applyFont="1" applyFill="1" applyBorder="1" applyAlignment="1" applyProtection="1">
      <alignment horizontal="center" vertical="center" wrapText="1"/>
      <protection locked="0"/>
    </xf>
    <xf numFmtId="175" fontId="3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Alignment="1">
      <alignment horizontal="center"/>
    </xf>
    <xf numFmtId="10" fontId="4" fillId="4" borderId="0" xfId="3" applyNumberFormat="1" applyFont="1" applyFill="1" applyBorder="1" applyAlignment="1" applyProtection="1">
      <alignment horizontal="center"/>
      <protection locked="0"/>
    </xf>
    <xf numFmtId="10" fontId="4" fillId="4" borderId="8" xfId="3" applyNumberFormat="1" applyFont="1" applyFill="1" applyBorder="1" applyAlignment="1" applyProtection="1">
      <alignment horizontal="center"/>
      <protection locked="0"/>
    </xf>
    <xf numFmtId="164" fontId="2" fillId="0" borderId="0" xfId="1" applyFont="1" applyProtection="1"/>
  </cellXfs>
  <cellStyles count="6">
    <cellStyle name="Millares" xfId="1" builtinId="3"/>
    <cellStyle name="Normal" xfId="0" builtinId="0"/>
    <cellStyle name="Normal 2" xfId="5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23</xdr:col>
      <xdr:colOff>57948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0"/>
          <a:ext cx="5715798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34</xdr:row>
      <xdr:rowOff>38100</xdr:rowOff>
    </xdr:from>
    <xdr:to>
      <xdr:col>15</xdr:col>
      <xdr:colOff>28576</xdr:colOff>
      <xdr:row>39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5314950"/>
          <a:ext cx="774382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22</xdr:col>
      <xdr:colOff>572298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0"/>
          <a:ext cx="5715798" cy="952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0102" y="6448425"/>
          <a:ext cx="75723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905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23</xdr:col>
      <xdr:colOff>57948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0"/>
          <a:ext cx="5715798" cy="952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42</xdr:row>
      <xdr:rowOff>38100</xdr:rowOff>
    </xdr:from>
    <xdr:to>
      <xdr:col>15</xdr:col>
      <xdr:colOff>28576</xdr:colOff>
      <xdr:row>47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5723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22</xdr:col>
      <xdr:colOff>685478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0"/>
          <a:ext cx="5715798" cy="952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mezl.MARIVA\AppData\Local\Microsoft\Windows\INetCache\Content.Outlook\2AXRT48T\Cr&#233;dito%20Directo%20ON%20Clases%20XX%20y%20XXI%20-%20Calculado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ON XX NM "/>
      <sheetName val="ON XX Canje ON X "/>
      <sheetName val="ON XXI NM "/>
      <sheetName val="ON XXI Canje ON X"/>
      <sheetName val="RdC ON X Clase XX"/>
      <sheetName val="RdC ON X Clase XXI"/>
    </sheetNames>
    <sheetDataSet>
      <sheetData sheetId="0">
        <row r="7">
          <cell r="J7">
            <v>5.0000000000000001E-3</v>
          </cell>
        </row>
        <row r="8">
          <cell r="J8">
            <v>1.2E-2</v>
          </cell>
        </row>
      </sheetData>
      <sheetData sheetId="1"/>
      <sheetData sheetId="2"/>
      <sheetData sheetId="3"/>
      <sheetData sheetId="4"/>
      <sheetData sheetId="5">
        <row r="5">
          <cell r="C5">
            <v>44915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69"/>
  <sheetViews>
    <sheetView showGridLines="0" tabSelected="1" topLeftCell="A7" zoomScaleNormal="100" zoomScaleSheetLayoutView="130" workbookViewId="0">
      <selection activeCell="N19" sqref="N19"/>
    </sheetView>
  </sheetViews>
  <sheetFormatPr baseColWidth="10" defaultColWidth="11.42578125" defaultRowHeight="11.25" x14ac:dyDescent="0.2"/>
  <cols>
    <col min="1" max="1" width="11.42578125" style="1"/>
    <col min="2" max="2" width="11.85546875" style="86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3.285156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3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4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4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4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4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4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4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4:143" ht="15.75" x14ac:dyDescent="0.25">
      <c r="G8" s="148" t="s">
        <v>58</v>
      </c>
      <c r="H8" s="149"/>
      <c r="I8" s="149"/>
      <c r="J8" s="149"/>
      <c r="K8" s="149"/>
      <c r="L8" s="149"/>
      <c r="M8" s="149"/>
      <c r="N8" s="149"/>
      <c r="O8" s="149"/>
      <c r="P8" s="150"/>
      <c r="Q8" s="15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4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4:143" ht="12.75" customHeight="1" x14ac:dyDescent="0.2">
      <c r="G10" s="147" t="s">
        <v>0</v>
      </c>
      <c r="H10" s="152">
        <v>44915</v>
      </c>
      <c r="I10" s="152"/>
      <c r="J10" s="154" t="s">
        <v>1</v>
      </c>
      <c r="K10" s="155"/>
      <c r="L10" s="156">
        <f>XIRR(O26:O30,E26:E30)</f>
        <v>0.99705208539962764</v>
      </c>
      <c r="M10" s="157"/>
      <c r="N10" s="154" t="s">
        <v>27</v>
      </c>
      <c r="O10" s="155"/>
      <c r="P10" s="156" t="s">
        <v>36</v>
      </c>
      <c r="Q10" s="157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4:143" ht="12.75" customHeight="1" x14ac:dyDescent="0.2">
      <c r="G11" s="141" t="s">
        <v>2</v>
      </c>
      <c r="H11" s="165">
        <f>+G30</f>
        <v>45280</v>
      </c>
      <c r="I11" s="165"/>
      <c r="J11" s="159" t="s">
        <v>18</v>
      </c>
      <c r="K11" s="160"/>
      <c r="L11" s="163">
        <f>+(((1+L10)^(90/365))-1)*(365/90)</f>
        <v>0.75415533808844593</v>
      </c>
      <c r="M11" s="164"/>
      <c r="N11" s="159" t="s">
        <v>30</v>
      </c>
      <c r="O11" s="160"/>
      <c r="P11" s="167" t="s">
        <v>34</v>
      </c>
      <c r="Q11" s="168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4:143" ht="12.75" customHeight="1" x14ac:dyDescent="0.2">
      <c r="D12" s="34"/>
      <c r="G12" s="141" t="s">
        <v>28</v>
      </c>
      <c r="H12" s="158" t="s">
        <v>40</v>
      </c>
      <c r="I12" s="158"/>
      <c r="J12" s="159" t="s">
        <v>29</v>
      </c>
      <c r="K12" s="160"/>
      <c r="L12" s="161">
        <f>+(V32/U32)*12</f>
        <v>8.0053931592266494</v>
      </c>
      <c r="M12" s="162"/>
      <c r="N12" s="159" t="s">
        <v>37</v>
      </c>
      <c r="O12" s="160"/>
      <c r="P12" s="163">
        <v>1</v>
      </c>
      <c r="Q12" s="164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4:143" ht="12.75" customHeight="1" x14ac:dyDescent="0.2">
      <c r="G13" s="141"/>
      <c r="H13" s="177"/>
      <c r="I13" s="177"/>
      <c r="J13" s="159" t="s">
        <v>25</v>
      </c>
      <c r="K13" s="160"/>
      <c r="L13" s="161" t="s">
        <v>39</v>
      </c>
      <c r="M13" s="162"/>
      <c r="N13" s="159" t="s">
        <v>32</v>
      </c>
      <c r="O13" s="160"/>
      <c r="P13" s="179">
        <v>800000000</v>
      </c>
      <c r="Q13" s="180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4:143" ht="12.75" customHeight="1" x14ac:dyDescent="0.2">
      <c r="G14" s="143" t="s">
        <v>3</v>
      </c>
      <c r="H14" s="169">
        <f>+$H$10</f>
        <v>44915</v>
      </c>
      <c r="I14" s="169"/>
      <c r="J14" s="171" t="s">
        <v>26</v>
      </c>
      <c r="K14" s="172"/>
      <c r="L14" s="173">
        <v>12</v>
      </c>
      <c r="M14" s="174"/>
      <c r="N14" s="171" t="s">
        <v>35</v>
      </c>
      <c r="O14" s="172"/>
      <c r="P14" s="205">
        <v>0.06</v>
      </c>
      <c r="Q14" s="175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4:143" x14ac:dyDescent="0.2">
      <c r="H15" s="105"/>
      <c r="I15" s="6"/>
      <c r="J15" s="6"/>
      <c r="M15" s="7"/>
      <c r="N15" s="8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4:143" x14ac:dyDescent="0.2">
      <c r="I16" s="67" t="s">
        <v>41</v>
      </c>
      <c r="J16" s="67" t="s">
        <v>10</v>
      </c>
      <c r="K16" s="68" t="s">
        <v>16</v>
      </c>
      <c r="L16" s="77" t="s">
        <v>11</v>
      </c>
      <c r="M16" s="69" t="s">
        <v>12</v>
      </c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ht="12.75" customHeight="1" x14ac:dyDescent="0.2">
      <c r="I17" s="81">
        <f>DATEDIF($C$26,J17,"m")</f>
        <v>3</v>
      </c>
      <c r="J17" s="70">
        <f>+G27</f>
        <v>45005</v>
      </c>
      <c r="K17" s="64">
        <f>+$P$13*L27/100</f>
        <v>0</v>
      </c>
      <c r="L17" s="63">
        <f>+$P$13*K27/100</f>
        <v>148931506.84931508</v>
      </c>
      <c r="M17" s="21">
        <f>SUM(K17:L17)</f>
        <v>148931506.84931508</v>
      </c>
      <c r="N17" s="8"/>
      <c r="P17" s="31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2.75" customHeight="1" x14ac:dyDescent="0.2">
      <c r="I18" s="81">
        <f>DATEDIF($C$26,J18,"m")</f>
        <v>6</v>
      </c>
      <c r="J18" s="70">
        <f t="shared" ref="J18:J20" si="0">+G28</f>
        <v>45097</v>
      </c>
      <c r="K18" s="64">
        <f>+$P$13*L28/100</f>
        <v>200000000</v>
      </c>
      <c r="L18" s="63">
        <f>+$P$13*K28/100</f>
        <v>152241095.89041093</v>
      </c>
      <c r="M18" s="21">
        <f t="shared" ref="M18:M20" si="1">SUM(K18:L18)</f>
        <v>352241095.8904109</v>
      </c>
      <c r="N18" s="8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2.75" customHeight="1" x14ac:dyDescent="0.2">
      <c r="I19" s="81">
        <f>DATEDIF($C$26,J19,"m")</f>
        <v>9</v>
      </c>
      <c r="J19" s="70">
        <f t="shared" si="0"/>
        <v>45189</v>
      </c>
      <c r="K19" s="64">
        <f>+$P$13*L29/100</f>
        <v>200000000</v>
      </c>
      <c r="L19" s="63">
        <f>+$P$13*K29/100</f>
        <v>114180821.9178082</v>
      </c>
      <c r="M19" s="21">
        <f t="shared" si="1"/>
        <v>314180821.91780818</v>
      </c>
      <c r="N19" s="8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2.75" customHeight="1" x14ac:dyDescent="0.2">
      <c r="I20" s="82">
        <f>DATEDIF($C$26,J20,"m")</f>
        <v>12</v>
      </c>
      <c r="J20" s="101">
        <f t="shared" si="0"/>
        <v>45280</v>
      </c>
      <c r="K20" s="102">
        <f>+$P$13*L30/100</f>
        <v>400000000</v>
      </c>
      <c r="L20" s="103">
        <f>+$P$13*K30/100</f>
        <v>75293150.684931502</v>
      </c>
      <c r="M20" s="104">
        <f t="shared" si="1"/>
        <v>475293150.68493152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2.75" customHeight="1" x14ac:dyDescent="0.2">
      <c r="J21" s="97" t="s">
        <v>12</v>
      </c>
      <c r="K21" s="98">
        <f>SUM(K17:K20)</f>
        <v>800000000</v>
      </c>
      <c r="L21" s="99">
        <f>SUM(L17:L20)</f>
        <v>490646575.34246576</v>
      </c>
      <c r="M21" s="100">
        <f>SUM(K21:L21)</f>
        <v>1290646575.3424659</v>
      </c>
      <c r="N21" s="8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x14ac:dyDescent="0.2">
      <c r="H22" s="46"/>
      <c r="I22" s="6"/>
      <c r="J22" s="6"/>
      <c r="M22" s="7"/>
      <c r="N22" s="8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14.25" customHeight="1" x14ac:dyDescent="0.2">
      <c r="G23" s="187" t="s">
        <v>17</v>
      </c>
      <c r="H23" s="189" t="s">
        <v>31</v>
      </c>
      <c r="I23" s="189" t="s">
        <v>13</v>
      </c>
      <c r="J23" s="189" t="s">
        <v>21</v>
      </c>
      <c r="K23" s="181" t="s">
        <v>20</v>
      </c>
      <c r="L23" s="181" t="s">
        <v>4</v>
      </c>
      <c r="M23" s="181" t="s">
        <v>14</v>
      </c>
      <c r="N23" s="183" t="s">
        <v>5</v>
      </c>
      <c r="O23" s="185" t="s">
        <v>15</v>
      </c>
      <c r="P23" s="185" t="s">
        <v>33</v>
      </c>
      <c r="R23" s="9" t="s">
        <v>19</v>
      </c>
      <c r="S23" s="9" t="s">
        <v>6</v>
      </c>
      <c r="T23" s="9" t="s">
        <v>7</v>
      </c>
      <c r="U23" s="9" t="s">
        <v>8</v>
      </c>
      <c r="V23" s="9" t="s">
        <v>9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x14ac:dyDescent="0.2">
      <c r="G24" s="188"/>
      <c r="H24" s="190"/>
      <c r="I24" s="190"/>
      <c r="J24" s="190"/>
      <c r="K24" s="182"/>
      <c r="L24" s="182"/>
      <c r="M24" s="182"/>
      <c r="N24" s="184"/>
      <c r="O24" s="186"/>
      <c r="P24" s="186"/>
      <c r="R24" s="10"/>
      <c r="S24" s="11">
        <f>+L10</f>
        <v>0.99705208539962764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x14ac:dyDescent="0.2">
      <c r="C25" s="1" t="s">
        <v>22</v>
      </c>
      <c r="G25" s="65"/>
      <c r="H25" s="49"/>
      <c r="I25" s="49"/>
      <c r="J25" s="20">
        <f>+J26</f>
        <v>0.06</v>
      </c>
      <c r="K25" s="50"/>
      <c r="L25" s="50"/>
      <c r="M25" s="51">
        <f>+M26</f>
        <v>100</v>
      </c>
      <c r="N25" s="52"/>
      <c r="O25" s="66"/>
      <c r="R25" s="10"/>
      <c r="S25" s="11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s="12" customFormat="1" ht="12.75" customHeight="1" x14ac:dyDescent="0.2">
      <c r="B26" s="87"/>
      <c r="C26" s="30">
        <f>+H10</f>
        <v>44915</v>
      </c>
      <c r="D26" s="32"/>
      <c r="E26" s="30">
        <f>+H14</f>
        <v>44915</v>
      </c>
      <c r="F26" s="39">
        <f>+H10</f>
        <v>44915</v>
      </c>
      <c r="G26" s="58">
        <f>+F26</f>
        <v>44915</v>
      </c>
      <c r="H26" s="59"/>
      <c r="I26" s="59"/>
      <c r="J26" s="60">
        <f t="shared" ref="J26" si="2">+$P$14</f>
        <v>0.06</v>
      </c>
      <c r="K26" s="59"/>
      <c r="L26" s="59"/>
      <c r="M26" s="61">
        <v>100</v>
      </c>
      <c r="N26" s="61">
        <f>-P12*100</f>
        <v>-100</v>
      </c>
      <c r="O26" s="62">
        <f>+P13*-1</f>
        <v>-800000000</v>
      </c>
      <c r="P26" s="62"/>
      <c r="Q26" s="1"/>
      <c r="R26" s="16">
        <f t="shared" ref="R26:R31" si="3">I26/365</f>
        <v>0</v>
      </c>
      <c r="S26" s="16">
        <f t="shared" ref="S26:S30" si="4">1/(1+$L$10)^(I26/365)</f>
        <v>1</v>
      </c>
      <c r="T26" s="17">
        <f t="shared" ref="T26:T30" si="5">+N26</f>
        <v>-100</v>
      </c>
      <c r="U26" s="17">
        <f t="shared" ref="U26:U30" si="6">+T26*S26</f>
        <v>-100</v>
      </c>
      <c r="V26" s="17">
        <f t="shared" ref="V26:V30" si="7">+U26*R26</f>
        <v>0</v>
      </c>
      <c r="W26" s="1"/>
      <c r="X26" s="1"/>
      <c r="Y26" s="1"/>
      <c r="Z26" s="1"/>
      <c r="AA26" s="1"/>
      <c r="AB26" s="1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</row>
    <row r="27" spans="2:143" s="12" customFormat="1" ht="12.75" customHeight="1" x14ac:dyDescent="0.2">
      <c r="B27" s="12">
        <f>DATEDIF($C$26,C27,"m")</f>
        <v>3</v>
      </c>
      <c r="C27" s="30">
        <f>IF(C26&gt;0,D27+C26,0)</f>
        <v>45005</v>
      </c>
      <c r="D27" s="32">
        <v>90</v>
      </c>
      <c r="E27" s="30">
        <f t="shared" ref="E27:E30" si="8">+G27</f>
        <v>45005</v>
      </c>
      <c r="F27" s="39">
        <f t="shared" ref="F27:F30" si="9">+F26+D27</f>
        <v>45005</v>
      </c>
      <c r="G27" s="42">
        <f t="shared" ref="G27:G30" si="10">+F27</f>
        <v>45005</v>
      </c>
      <c r="H27" s="43">
        <f t="shared" ref="H27:H29" si="11">+F27-F26</f>
        <v>90</v>
      </c>
      <c r="I27" s="43">
        <f t="shared" ref="I27:I30" si="12">+IF(G27-$H$14&lt;0,0,G27-$H$14)</f>
        <v>90</v>
      </c>
      <c r="J27" s="79">
        <f>+$P$14+P27</f>
        <v>0.75499999999999989</v>
      </c>
      <c r="K27" s="44">
        <f t="shared" ref="K27:K30" si="13">+J27/365*H27*M26</f>
        <v>18.616438356164384</v>
      </c>
      <c r="L27" s="45">
        <v>0</v>
      </c>
      <c r="M27" s="45">
        <f t="shared" ref="M27:M30" si="14">+M26-L27</f>
        <v>100</v>
      </c>
      <c r="N27" s="45">
        <f t="shared" ref="N27:N30" si="15">+IF(G27&gt;$H$14,K27+L27,0)</f>
        <v>18.616438356164384</v>
      </c>
      <c r="O27" s="47">
        <f t="shared" ref="O27:O30" si="16">+N27*$P$13/100</f>
        <v>148931506.84931508</v>
      </c>
      <c r="P27" s="74">
        <v>0.69499999999999995</v>
      </c>
      <c r="Q27" s="1"/>
      <c r="R27" s="16">
        <f t="shared" si="3"/>
        <v>0.24657534246575341</v>
      </c>
      <c r="S27" s="16">
        <f t="shared" si="4"/>
        <v>0.84320152400738746</v>
      </c>
      <c r="T27" s="17">
        <f t="shared" si="5"/>
        <v>18.616438356164384</v>
      </c>
      <c r="U27" s="75">
        <f t="shared" si="6"/>
        <v>15.697409193507392</v>
      </c>
      <c r="V27" s="17">
        <f t="shared" si="7"/>
        <v>3.8705940477141514</v>
      </c>
      <c r="W27" s="1"/>
      <c r="X27" s="1"/>
      <c r="Y27" s="1"/>
      <c r="Z27" s="1"/>
      <c r="AA27" s="1"/>
      <c r="AB27" s="1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</row>
    <row r="28" spans="2:143" s="12" customFormat="1" ht="12.75" customHeight="1" x14ac:dyDescent="0.2">
      <c r="B28" s="12">
        <f>DATEDIF($C$26,C28,"m")</f>
        <v>6</v>
      </c>
      <c r="C28" s="30">
        <f t="shared" ref="C28:C30" si="17">IF(C27&gt;0,D28+C27,0)</f>
        <v>45097</v>
      </c>
      <c r="D28" s="32">
        <v>92</v>
      </c>
      <c r="E28" s="30">
        <f t="shared" si="8"/>
        <v>45097</v>
      </c>
      <c r="F28" s="39">
        <f t="shared" si="9"/>
        <v>45097</v>
      </c>
      <c r="G28" s="42">
        <f t="shared" si="10"/>
        <v>45097</v>
      </c>
      <c r="H28" s="43">
        <f t="shared" si="11"/>
        <v>92</v>
      </c>
      <c r="I28" s="43">
        <f t="shared" si="12"/>
        <v>182</v>
      </c>
      <c r="J28" s="79">
        <f t="shared" ref="J28:J30" si="18">+$P$14+P28</f>
        <v>0.75499999999999989</v>
      </c>
      <c r="K28" s="44">
        <f t="shared" si="13"/>
        <v>19.030136986301368</v>
      </c>
      <c r="L28" s="45">
        <v>25</v>
      </c>
      <c r="M28" s="45">
        <f t="shared" si="14"/>
        <v>75</v>
      </c>
      <c r="N28" s="45">
        <f t="shared" si="15"/>
        <v>44.030136986301372</v>
      </c>
      <c r="O28" s="47">
        <f t="shared" si="16"/>
        <v>352241095.89041102</v>
      </c>
      <c r="P28" s="74">
        <f>+$P$27</f>
        <v>0.69499999999999995</v>
      </c>
      <c r="Q28" s="1"/>
      <c r="R28" s="16">
        <f t="shared" si="3"/>
        <v>0.49863013698630138</v>
      </c>
      <c r="S28" s="16">
        <f t="shared" si="4"/>
        <v>0.70829927352617861</v>
      </c>
      <c r="T28" s="17">
        <f t="shared" si="5"/>
        <v>44.030136986301372</v>
      </c>
      <c r="U28" s="75">
        <f t="shared" si="6"/>
        <v>31.186514040655389</v>
      </c>
      <c r="V28" s="17">
        <f t="shared" si="7"/>
        <v>15.550535768217207</v>
      </c>
      <c r="W28" s="1"/>
      <c r="X28" s="1"/>
      <c r="Y28" s="1"/>
      <c r="Z28" s="1"/>
      <c r="AA28" s="1"/>
      <c r="AB28" s="1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</row>
    <row r="29" spans="2:143" s="12" customFormat="1" ht="12.75" customHeight="1" x14ac:dyDescent="0.2">
      <c r="B29" s="12">
        <f>DATEDIF($C$26,C29,"m")</f>
        <v>9</v>
      </c>
      <c r="C29" s="30">
        <f t="shared" si="17"/>
        <v>45189</v>
      </c>
      <c r="D29" s="32">
        <v>92</v>
      </c>
      <c r="E29" s="30">
        <f t="shared" si="8"/>
        <v>45189</v>
      </c>
      <c r="F29" s="39">
        <f t="shared" si="9"/>
        <v>45189</v>
      </c>
      <c r="G29" s="42">
        <f t="shared" si="10"/>
        <v>45189</v>
      </c>
      <c r="H29" s="43">
        <f t="shared" si="11"/>
        <v>92</v>
      </c>
      <c r="I29" s="43">
        <f t="shared" si="12"/>
        <v>274</v>
      </c>
      <c r="J29" s="79">
        <f t="shared" si="18"/>
        <v>0.75499999999999989</v>
      </c>
      <c r="K29" s="44">
        <f t="shared" si="13"/>
        <v>14.272602739726027</v>
      </c>
      <c r="L29" s="45">
        <v>25</v>
      </c>
      <c r="M29" s="45">
        <f t="shared" si="14"/>
        <v>50</v>
      </c>
      <c r="N29" s="45">
        <f t="shared" si="15"/>
        <v>39.272602739726025</v>
      </c>
      <c r="O29" s="47">
        <f t="shared" si="16"/>
        <v>314180821.91780818</v>
      </c>
      <c r="P29" s="74">
        <f>+$P$27</f>
        <v>0.69499999999999995</v>
      </c>
      <c r="Q29" s="1"/>
      <c r="R29" s="16">
        <f t="shared" si="3"/>
        <v>0.75068493150684934</v>
      </c>
      <c r="S29" s="16">
        <f t="shared" si="4"/>
        <v>0.59497978430280574</v>
      </c>
      <c r="T29" s="17">
        <f t="shared" si="5"/>
        <v>39.272602739726025</v>
      </c>
      <c r="U29" s="75">
        <f t="shared" si="6"/>
        <v>23.366404707091966</v>
      </c>
      <c r="V29" s="17">
        <f t="shared" si="7"/>
        <v>17.540807917104654</v>
      </c>
      <c r="W29" s="1"/>
      <c r="X29" s="1"/>
      <c r="Y29" s="1"/>
      <c r="Z29" s="1"/>
      <c r="AA29" s="1"/>
      <c r="AB29" s="1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</row>
    <row r="30" spans="2:143" s="12" customFormat="1" ht="12.75" customHeight="1" x14ac:dyDescent="0.2">
      <c r="B30" s="12">
        <f>DATEDIF($C$26,C30,"m")</f>
        <v>12</v>
      </c>
      <c r="C30" s="30">
        <f t="shared" si="17"/>
        <v>45280</v>
      </c>
      <c r="D30" s="32">
        <v>91</v>
      </c>
      <c r="E30" s="30">
        <f t="shared" si="8"/>
        <v>45280</v>
      </c>
      <c r="F30" s="39">
        <f t="shared" si="9"/>
        <v>45280</v>
      </c>
      <c r="G30" s="53">
        <f t="shared" si="10"/>
        <v>45280</v>
      </c>
      <c r="H30" s="48">
        <f>+F30-F29</f>
        <v>91</v>
      </c>
      <c r="I30" s="48">
        <f t="shared" si="12"/>
        <v>365</v>
      </c>
      <c r="J30" s="80">
        <f t="shared" si="18"/>
        <v>0.75499999999999989</v>
      </c>
      <c r="K30" s="54">
        <f t="shared" si="13"/>
        <v>9.411643835616438</v>
      </c>
      <c r="L30" s="55">
        <v>50</v>
      </c>
      <c r="M30" s="55">
        <f t="shared" si="14"/>
        <v>0</v>
      </c>
      <c r="N30" s="55">
        <f t="shared" si="15"/>
        <v>59.411643835616438</v>
      </c>
      <c r="O30" s="56">
        <f t="shared" si="16"/>
        <v>475293150.68493152</v>
      </c>
      <c r="P30" s="96">
        <f>+$P$27</f>
        <v>0.69499999999999995</v>
      </c>
      <c r="Q30" s="1"/>
      <c r="R30" s="16">
        <f t="shared" si="3"/>
        <v>1</v>
      </c>
      <c r="S30" s="16">
        <f t="shared" si="4"/>
        <v>0.50073806652864106</v>
      </c>
      <c r="T30" s="17">
        <f t="shared" si="5"/>
        <v>59.411643835616438</v>
      </c>
      <c r="U30" s="75">
        <f t="shared" si="6"/>
        <v>29.74967166353483</v>
      </c>
      <c r="V30" s="17">
        <f t="shared" si="7"/>
        <v>29.74967166353483</v>
      </c>
      <c r="W30" s="1"/>
      <c r="X30" s="1"/>
      <c r="Y30" s="1"/>
      <c r="Z30" s="1"/>
      <c r="AA30" s="1"/>
      <c r="AB30" s="1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</row>
    <row r="31" spans="2:143" ht="12.75" customHeight="1" x14ac:dyDescent="0.2">
      <c r="G31" s="40"/>
      <c r="H31" s="13"/>
      <c r="I31" s="15"/>
      <c r="J31" s="41"/>
      <c r="K31" s="14"/>
      <c r="L31" s="38"/>
      <c r="M31" s="15"/>
      <c r="N31" s="15"/>
      <c r="O31" s="37"/>
      <c r="R31" s="1">
        <f t="shared" si="3"/>
        <v>0</v>
      </c>
      <c r="S31" s="1">
        <f>1/(1+$L$10)^(I31/365)</f>
        <v>1</v>
      </c>
      <c r="T31" s="1"/>
      <c r="U31" s="1"/>
      <c r="V31" s="1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</row>
    <row r="32" spans="2:143" x14ac:dyDescent="0.2">
      <c r="G32" s="18"/>
      <c r="H32" s="13"/>
      <c r="I32" s="13"/>
      <c r="J32" s="13"/>
      <c r="K32" s="13"/>
      <c r="L32" s="22">
        <f>SUM(L27:L30)</f>
        <v>100</v>
      </c>
      <c r="M32" s="15"/>
      <c r="N32" s="15"/>
      <c r="O32" s="23">
        <f>SUM(O26:O30)</f>
        <v>490646575.34246576</v>
      </c>
      <c r="R32" s="19"/>
      <c r="S32" s="19"/>
      <c r="T32" s="17"/>
      <c r="U32" s="17">
        <f>SUM(U27:U30)</f>
        <v>99.999999604789565</v>
      </c>
      <c r="V32" s="17">
        <f>SUM(V27:V30)</f>
        <v>66.711609396570836</v>
      </c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</row>
    <row r="33" spans="8:143" x14ac:dyDescent="0.2"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</row>
    <row r="34" spans="8:143" x14ac:dyDescent="0.2">
      <c r="R34" s="1"/>
      <c r="S34" s="1"/>
      <c r="T34" s="1"/>
      <c r="U34" s="1"/>
      <c r="V34" s="1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</row>
    <row r="35" spans="8:143" x14ac:dyDescent="0.2">
      <c r="R35" s="1"/>
      <c r="S35" s="1"/>
      <c r="T35" s="1"/>
      <c r="U35" s="1"/>
      <c r="V35" s="1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</row>
    <row r="36" spans="8:143" x14ac:dyDescent="0.2">
      <c r="R36" s="1"/>
      <c r="S36" s="1"/>
      <c r="T36" s="1"/>
      <c r="U36" s="1"/>
      <c r="V36" s="1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</row>
    <row r="37" spans="8:143" x14ac:dyDescent="0.2">
      <c r="R37" s="1"/>
      <c r="S37" s="1"/>
      <c r="T37" s="1"/>
      <c r="U37" s="1"/>
      <c r="V37" s="1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</row>
    <row r="38" spans="8:143" ht="9.75" customHeight="1" x14ac:dyDescent="0.2">
      <c r="R38" s="1"/>
      <c r="S38" s="1"/>
      <c r="T38" s="1"/>
      <c r="U38" s="1"/>
      <c r="V38" s="1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</row>
    <row r="39" spans="8:143" x14ac:dyDescent="0.2">
      <c r="R39" s="1"/>
      <c r="S39" s="1"/>
      <c r="T39" s="1"/>
      <c r="U39" s="1"/>
      <c r="V39" s="1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8:143" x14ac:dyDescent="0.2">
      <c r="R40" s="1"/>
      <c r="S40" s="1"/>
      <c r="T40" s="1"/>
      <c r="U40" s="1"/>
      <c r="V40" s="1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8:143" x14ac:dyDescent="0.2">
      <c r="R41" s="1"/>
      <c r="S41" s="1"/>
      <c r="T41" s="1"/>
      <c r="U41" s="1"/>
      <c r="V41" s="1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8:143" hidden="1" x14ac:dyDescent="0.2">
      <c r="R42" s="1"/>
      <c r="S42" s="1"/>
      <c r="T42" s="1"/>
      <c r="U42" s="1"/>
      <c r="V42" s="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8:143" hidden="1" x14ac:dyDescent="0.2">
      <c r="H43" s="57"/>
      <c r="I43" s="57" t="s">
        <v>23</v>
      </c>
      <c r="J43" s="57"/>
      <c r="K43" s="57" t="s">
        <v>24</v>
      </c>
      <c r="R43" s="1"/>
      <c r="S43" s="1"/>
      <c r="T43" s="1"/>
      <c r="U43" s="1"/>
      <c r="V43" s="1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8:143" hidden="1" x14ac:dyDescent="0.2">
      <c r="H44" s="57">
        <v>1</v>
      </c>
      <c r="I44" s="57"/>
      <c r="J44" s="57"/>
      <c r="K44" s="57"/>
      <c r="R44" s="1"/>
      <c r="S44" s="1"/>
      <c r="T44" s="1"/>
      <c r="U44" s="1"/>
      <c r="V44" s="1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8:143" hidden="1" x14ac:dyDescent="0.2">
      <c r="H45" s="57">
        <v>2</v>
      </c>
      <c r="I45" s="57"/>
      <c r="J45" s="57"/>
      <c r="K45" s="57"/>
      <c r="R45" s="1"/>
      <c r="S45" s="1"/>
      <c r="T45" s="1"/>
      <c r="U45" s="1"/>
      <c r="V45" s="1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8:143" hidden="1" x14ac:dyDescent="0.2">
      <c r="H46" s="57">
        <v>3</v>
      </c>
      <c r="I46" s="57">
        <v>1</v>
      </c>
      <c r="J46" s="57"/>
      <c r="K46" s="57"/>
      <c r="R46" s="1"/>
      <c r="S46" s="1"/>
      <c r="T46" s="1"/>
      <c r="U46" s="1"/>
      <c r="V46" s="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8:143" hidden="1" x14ac:dyDescent="0.2">
      <c r="H47" s="57">
        <v>4</v>
      </c>
      <c r="I47" s="57"/>
      <c r="J47" s="57"/>
      <c r="K47" s="57"/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8:143" hidden="1" x14ac:dyDescent="0.2">
      <c r="H48" s="57">
        <v>5</v>
      </c>
      <c r="I48" s="57"/>
      <c r="J48" s="57"/>
      <c r="K48" s="57"/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hidden="1" x14ac:dyDescent="0.2">
      <c r="H49" s="57">
        <v>6</v>
      </c>
      <c r="I49" s="57">
        <v>2</v>
      </c>
      <c r="J49" s="57">
        <v>1</v>
      </c>
      <c r="K49" s="57"/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hidden="1" x14ac:dyDescent="0.2">
      <c r="H50" s="57">
        <v>7</v>
      </c>
      <c r="I50" s="57"/>
      <c r="J50" s="57"/>
      <c r="K50" s="57"/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H51" s="57">
        <v>8</v>
      </c>
      <c r="I51" s="57"/>
      <c r="J51" s="57"/>
      <c r="K51" s="57"/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>
        <v>9</v>
      </c>
      <c r="I52" s="57">
        <v>3</v>
      </c>
      <c r="J52" s="57"/>
      <c r="K52" s="57"/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10</v>
      </c>
      <c r="I53" s="57"/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11</v>
      </c>
      <c r="I54" s="57"/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12</v>
      </c>
      <c r="I55" s="57">
        <v>4</v>
      </c>
      <c r="J55" s="57">
        <v>2</v>
      </c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13</v>
      </c>
      <c r="I56" s="57"/>
      <c r="J56" s="57"/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14</v>
      </c>
      <c r="I57" s="57"/>
      <c r="J57" s="57"/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15</v>
      </c>
      <c r="I58" s="57">
        <v>5</v>
      </c>
      <c r="J58" s="57"/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16</v>
      </c>
      <c r="I59" s="57"/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17</v>
      </c>
      <c r="I60" s="57"/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18</v>
      </c>
      <c r="I61" s="57">
        <v>6</v>
      </c>
      <c r="J61" s="57">
        <v>3</v>
      </c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19</v>
      </c>
      <c r="I62" s="57"/>
      <c r="J62" s="57"/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20</v>
      </c>
      <c r="I63" s="57"/>
      <c r="J63" s="57"/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21</v>
      </c>
      <c r="I64" s="57">
        <v>7</v>
      </c>
      <c r="J64" s="57"/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22</v>
      </c>
      <c r="I65" s="57"/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23</v>
      </c>
      <c r="I66" s="57"/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24</v>
      </c>
      <c r="I67" s="57">
        <v>8</v>
      </c>
      <c r="J67" s="57">
        <v>4</v>
      </c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25</v>
      </c>
      <c r="I68" s="57"/>
      <c r="J68" s="57"/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26</v>
      </c>
      <c r="I69" s="57"/>
      <c r="J69" s="57"/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27</v>
      </c>
      <c r="I70" s="57">
        <v>9</v>
      </c>
      <c r="J70" s="57"/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28</v>
      </c>
      <c r="I71" s="57"/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29</v>
      </c>
      <c r="I72" s="57"/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30</v>
      </c>
      <c r="I73" s="57">
        <v>10</v>
      </c>
      <c r="J73" s="57">
        <v>5</v>
      </c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31</v>
      </c>
      <c r="I74" s="57"/>
      <c r="J74" s="57"/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32</v>
      </c>
      <c r="I75" s="57"/>
      <c r="J75" s="57"/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33</v>
      </c>
      <c r="I76" s="57">
        <v>11</v>
      </c>
      <c r="J76" s="57"/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34</v>
      </c>
      <c r="I77" s="57"/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35</v>
      </c>
      <c r="I78" s="57"/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36</v>
      </c>
      <c r="I79" s="57">
        <v>12</v>
      </c>
      <c r="J79" s="57">
        <v>6</v>
      </c>
      <c r="K79" s="57">
        <v>1</v>
      </c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37</v>
      </c>
      <c r="I80" s="57"/>
      <c r="J80" s="57"/>
      <c r="K80" s="57"/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38</v>
      </c>
      <c r="I81" s="57"/>
      <c r="J81" s="57"/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39</v>
      </c>
      <c r="I82" s="57">
        <v>13</v>
      </c>
      <c r="J82" s="57"/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40</v>
      </c>
      <c r="I83" s="57"/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41</v>
      </c>
      <c r="I84" s="57"/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42</v>
      </c>
      <c r="I85" s="57">
        <v>14</v>
      </c>
      <c r="J85" s="57">
        <v>7</v>
      </c>
      <c r="K85" s="57">
        <v>2</v>
      </c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43</v>
      </c>
      <c r="I86" s="57"/>
      <c r="J86" s="57"/>
      <c r="K86" s="57"/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44</v>
      </c>
      <c r="I87" s="57"/>
      <c r="J87" s="57"/>
      <c r="K87" s="57"/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45</v>
      </c>
      <c r="I88" s="57">
        <v>15</v>
      </c>
      <c r="J88" s="57"/>
      <c r="K88" s="57"/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46</v>
      </c>
      <c r="I89" s="57"/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47</v>
      </c>
      <c r="I90" s="57"/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48</v>
      </c>
      <c r="I91" s="57">
        <v>16</v>
      </c>
      <c r="J91" s="57">
        <v>8</v>
      </c>
      <c r="K91" s="57">
        <v>3</v>
      </c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49</v>
      </c>
      <c r="I92" s="57"/>
      <c r="J92" s="57"/>
      <c r="K92" s="57"/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50</v>
      </c>
      <c r="I93" s="57"/>
      <c r="J93" s="57"/>
      <c r="K93" s="57"/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51</v>
      </c>
      <c r="I94" s="57">
        <v>17</v>
      </c>
      <c r="J94" s="57"/>
      <c r="K94" s="57"/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52</v>
      </c>
      <c r="I95" s="57"/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53</v>
      </c>
      <c r="I96" s="57"/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54</v>
      </c>
      <c r="I97" s="57">
        <v>18</v>
      </c>
      <c r="J97" s="57">
        <v>9</v>
      </c>
      <c r="K97" s="57">
        <v>4</v>
      </c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55</v>
      </c>
      <c r="I98" s="57"/>
      <c r="J98" s="57"/>
      <c r="K98" s="57"/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56</v>
      </c>
      <c r="I99" s="57"/>
      <c r="J99" s="57"/>
      <c r="K99" s="57"/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57</v>
      </c>
      <c r="I100" s="57">
        <v>19</v>
      </c>
      <c r="J100" s="57"/>
      <c r="K100" s="57"/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58</v>
      </c>
      <c r="I101" s="57"/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59</v>
      </c>
      <c r="I102" s="57"/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60</v>
      </c>
      <c r="I103" s="57">
        <v>20</v>
      </c>
      <c r="J103" s="57">
        <v>10</v>
      </c>
      <c r="K103" s="57">
        <v>5</v>
      </c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x14ac:dyDescent="0.2"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x14ac:dyDescent="0.2"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x14ac:dyDescent="0.2"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x14ac:dyDescent="0.2"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x14ac:dyDescent="0.2"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x14ac:dyDescent="0.2"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x14ac:dyDescent="0.2"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x14ac:dyDescent="0.2"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</sheetData>
  <sheetProtection selectLockedCells="1"/>
  <mergeCells count="36"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0"/>
  <sheetViews>
    <sheetView showGridLines="0" zoomScaleNormal="100" zoomScaleSheetLayoutView="130" workbookViewId="0">
      <selection activeCell="K27" sqref="K27"/>
    </sheetView>
  </sheetViews>
  <sheetFormatPr baseColWidth="10" defaultColWidth="11.42578125" defaultRowHeight="11.25" x14ac:dyDescent="0.2"/>
  <cols>
    <col min="1" max="1" width="11.42578125" style="1"/>
    <col min="2" max="2" width="11.85546875" style="86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3.285156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3.42578125" style="1" bestFit="1" customWidth="1"/>
    <col min="14" max="14" width="11.5703125" style="1" customWidth="1"/>
    <col min="15" max="15" width="11.7109375" style="1" customWidth="1"/>
    <col min="16" max="16" width="15.7109375" style="1" bestFit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4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4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4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4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4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4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4:143" ht="15.75" x14ac:dyDescent="0.25">
      <c r="G8" s="148" t="s">
        <v>58</v>
      </c>
      <c r="H8" s="149"/>
      <c r="I8" s="149"/>
      <c r="J8" s="149"/>
      <c r="K8" s="149"/>
      <c r="L8" s="149"/>
      <c r="M8" s="149"/>
      <c r="N8" s="149"/>
      <c r="O8" s="149"/>
      <c r="P8" s="150"/>
      <c r="Q8" s="15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4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4:143" ht="12.75" customHeight="1" x14ac:dyDescent="0.2">
      <c r="G10" s="147" t="s">
        <v>0</v>
      </c>
      <c r="H10" s="152">
        <v>44915</v>
      </c>
      <c r="I10" s="152"/>
      <c r="J10" s="154" t="s">
        <v>1</v>
      </c>
      <c r="K10" s="155"/>
      <c r="L10" s="156">
        <f>XIRR(O27:O31,E27:E31)</f>
        <v>1.0120445370674134</v>
      </c>
      <c r="M10" s="157"/>
      <c r="N10" s="154" t="s">
        <v>27</v>
      </c>
      <c r="O10" s="155"/>
      <c r="P10" s="156" t="s">
        <v>36</v>
      </c>
      <c r="Q10" s="157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4:143" ht="12.75" customHeight="1" x14ac:dyDescent="0.2">
      <c r="G11" s="141" t="s">
        <v>2</v>
      </c>
      <c r="H11" s="165">
        <f>+G31</f>
        <v>45280</v>
      </c>
      <c r="I11" s="165"/>
      <c r="J11" s="159" t="s">
        <v>18</v>
      </c>
      <c r="K11" s="160"/>
      <c r="L11" s="163">
        <f>+(((1+L10)^(90/365))-1)*(365/90)</f>
        <v>0.76303358657210407</v>
      </c>
      <c r="M11" s="164"/>
      <c r="N11" s="159" t="s">
        <v>30</v>
      </c>
      <c r="O11" s="160"/>
      <c r="P11" s="167" t="s">
        <v>34</v>
      </c>
      <c r="Q11" s="168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4:143" ht="12.75" customHeight="1" x14ac:dyDescent="0.2">
      <c r="D12" s="34"/>
      <c r="G12" s="141" t="s">
        <v>28</v>
      </c>
      <c r="H12" s="158" t="s">
        <v>40</v>
      </c>
      <c r="I12" s="158"/>
      <c r="J12" s="159" t="s">
        <v>29</v>
      </c>
      <c r="K12" s="160"/>
      <c r="L12" s="161">
        <f>+(V33/U33)*12</f>
        <v>7.9990010688065629</v>
      </c>
      <c r="M12" s="162"/>
      <c r="N12" s="159" t="s">
        <v>37</v>
      </c>
      <c r="O12" s="160"/>
      <c r="P12" s="163">
        <v>1</v>
      </c>
      <c r="Q12" s="164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4:143" ht="12.75" customHeight="1" x14ac:dyDescent="0.2">
      <c r="G13" s="141"/>
      <c r="H13" s="177"/>
      <c r="I13" s="177"/>
      <c r="J13" s="159" t="s">
        <v>25</v>
      </c>
      <c r="K13" s="160"/>
      <c r="L13" s="161" t="s">
        <v>39</v>
      </c>
      <c r="M13" s="162"/>
      <c r="N13" s="160" t="s">
        <v>56</v>
      </c>
      <c r="O13" s="160"/>
      <c r="P13" s="179">
        <v>800000000</v>
      </c>
      <c r="Q13" s="180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4:143" ht="12.75" customHeight="1" x14ac:dyDescent="0.2">
      <c r="G14" s="141" t="s">
        <v>3</v>
      </c>
      <c r="H14" s="194">
        <f>+$H$10</f>
        <v>44915</v>
      </c>
      <c r="I14" s="194"/>
      <c r="J14" s="159" t="s">
        <v>26</v>
      </c>
      <c r="K14" s="160"/>
      <c r="L14" s="196">
        <v>12</v>
      </c>
      <c r="M14" s="197"/>
      <c r="N14" s="159" t="s">
        <v>35</v>
      </c>
      <c r="O14" s="160"/>
      <c r="P14" s="204">
        <v>0.06</v>
      </c>
      <c r="Q14" s="199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4:143" ht="12.75" customHeight="1" x14ac:dyDescent="0.2">
      <c r="G15" s="143"/>
      <c r="H15" s="142"/>
      <c r="I15" s="142"/>
      <c r="J15" s="143"/>
      <c r="K15" s="144"/>
      <c r="L15" s="145"/>
      <c r="M15" s="146"/>
      <c r="N15" s="200" t="s">
        <v>59</v>
      </c>
      <c r="O15" s="184"/>
      <c r="P15" s="201">
        <f>P13*'RdC ON X Clase XX'!C14</f>
        <v>476052320.13002086</v>
      </c>
      <c r="Q15" s="202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4:143" x14ac:dyDescent="0.2">
      <c r="H16" s="105"/>
      <c r="I16" s="6"/>
      <c r="J16" s="6"/>
      <c r="M16" s="7"/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x14ac:dyDescent="0.2">
      <c r="I17" s="67" t="s">
        <v>41</v>
      </c>
      <c r="J17" s="67" t="s">
        <v>10</v>
      </c>
      <c r="K17" s="68" t="s">
        <v>16</v>
      </c>
      <c r="L17" s="77" t="s">
        <v>11</v>
      </c>
      <c r="M17" s="69" t="s">
        <v>12</v>
      </c>
      <c r="N17" s="8"/>
      <c r="S17" s="29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2.75" customHeight="1" x14ac:dyDescent="0.2">
      <c r="I18" s="81">
        <f>DATEDIF($C$27,J18,"m")</f>
        <v>3</v>
      </c>
      <c r="J18" s="70">
        <f>+G28</f>
        <v>45005</v>
      </c>
      <c r="K18" s="64">
        <f>+$P$13*L28/100</f>
        <v>0</v>
      </c>
      <c r="L18" s="63">
        <f>+$P$13*K28/100</f>
        <v>148931506.84931508</v>
      </c>
      <c r="M18" s="21">
        <f>SUM(K18:L18)</f>
        <v>148931506.84931508</v>
      </c>
      <c r="N18" s="8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2.75" customHeight="1" x14ac:dyDescent="0.2">
      <c r="I19" s="81">
        <f>DATEDIF($C$27,J19,"m")</f>
        <v>6</v>
      </c>
      <c r="J19" s="70">
        <f t="shared" ref="J19:J21" si="0">+G29</f>
        <v>45097</v>
      </c>
      <c r="K19" s="64">
        <f>+$P$13*L29/100</f>
        <v>200000000</v>
      </c>
      <c r="L19" s="63">
        <f>+$P$13*K29/100</f>
        <v>152241095.89041093</v>
      </c>
      <c r="M19" s="21">
        <f t="shared" ref="M19:M21" si="1">SUM(K19:L19)</f>
        <v>352241095.8904109</v>
      </c>
      <c r="N19" s="8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2.75" customHeight="1" x14ac:dyDescent="0.2">
      <c r="I20" s="81">
        <f>DATEDIF($C$27,J20,"m")</f>
        <v>9</v>
      </c>
      <c r="J20" s="70">
        <f t="shared" si="0"/>
        <v>45189</v>
      </c>
      <c r="K20" s="64">
        <f>+$P$13*L30/100</f>
        <v>200000000</v>
      </c>
      <c r="L20" s="63">
        <f>+$P$13*K30/100</f>
        <v>114180821.9178082</v>
      </c>
      <c r="M20" s="21">
        <f t="shared" si="1"/>
        <v>314180821.91780818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2.75" customHeight="1" x14ac:dyDescent="0.2">
      <c r="I21" s="82">
        <f>DATEDIF($C$27,J21,"m")</f>
        <v>12</v>
      </c>
      <c r="J21" s="101">
        <f t="shared" si="0"/>
        <v>45280</v>
      </c>
      <c r="K21" s="102">
        <f>+$P$13*L31/100</f>
        <v>400000000</v>
      </c>
      <c r="L21" s="103">
        <f>+$P$13*K31/100</f>
        <v>75293150.684931502</v>
      </c>
      <c r="M21" s="104">
        <f t="shared" si="1"/>
        <v>475293150.68493152</v>
      </c>
      <c r="N21" s="8"/>
      <c r="P21" s="20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ht="12.75" customHeight="1" x14ac:dyDescent="0.2">
      <c r="J22" s="97" t="s">
        <v>12</v>
      </c>
      <c r="K22" s="98">
        <f>SUM(K18:K21)</f>
        <v>800000000</v>
      </c>
      <c r="L22" s="99">
        <f>SUM(L18:L21)</f>
        <v>490646575.34246576</v>
      </c>
      <c r="M22" s="100">
        <f>SUM(K22:L22)</f>
        <v>1290646575.3424659</v>
      </c>
      <c r="N22" s="8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x14ac:dyDescent="0.2">
      <c r="H23" s="46"/>
      <c r="I23" s="6"/>
      <c r="J23" s="6"/>
      <c r="M23" s="7"/>
      <c r="N23" s="8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ht="14.25" customHeight="1" x14ac:dyDescent="0.2">
      <c r="G24" s="187" t="s">
        <v>17</v>
      </c>
      <c r="H24" s="189" t="s">
        <v>31</v>
      </c>
      <c r="I24" s="189" t="s">
        <v>13</v>
      </c>
      <c r="J24" s="189" t="s">
        <v>21</v>
      </c>
      <c r="K24" s="181" t="s">
        <v>20</v>
      </c>
      <c r="L24" s="181" t="s">
        <v>4</v>
      </c>
      <c r="M24" s="181" t="s">
        <v>14</v>
      </c>
      <c r="N24" s="183" t="s">
        <v>5</v>
      </c>
      <c r="O24" s="185" t="s">
        <v>15</v>
      </c>
      <c r="P24" s="185" t="s">
        <v>33</v>
      </c>
      <c r="R24" s="9" t="s">
        <v>19</v>
      </c>
      <c r="S24" s="9" t="s">
        <v>6</v>
      </c>
      <c r="T24" s="9" t="s">
        <v>7</v>
      </c>
      <c r="U24" s="9" t="s">
        <v>8</v>
      </c>
      <c r="V24" s="9" t="s">
        <v>9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x14ac:dyDescent="0.2">
      <c r="G25" s="188"/>
      <c r="H25" s="190"/>
      <c r="I25" s="190"/>
      <c r="J25" s="190"/>
      <c r="K25" s="182"/>
      <c r="L25" s="182"/>
      <c r="M25" s="182"/>
      <c r="N25" s="184"/>
      <c r="O25" s="186"/>
      <c r="P25" s="186"/>
      <c r="R25" s="10"/>
      <c r="S25" s="11">
        <f>+L10</f>
        <v>1.0120445370674134</v>
      </c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x14ac:dyDescent="0.2">
      <c r="C26" s="1" t="s">
        <v>22</v>
      </c>
      <c r="G26" s="65"/>
      <c r="H26" s="49"/>
      <c r="I26" s="49"/>
      <c r="J26" s="20">
        <f>+J27</f>
        <v>0.06</v>
      </c>
      <c r="K26" s="50"/>
      <c r="L26" s="50"/>
      <c r="M26" s="51">
        <f>+M27</f>
        <v>100</v>
      </c>
      <c r="N26" s="52"/>
      <c r="O26" s="66"/>
      <c r="R26" s="10"/>
      <c r="S26" s="11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pans="2:143" s="12" customFormat="1" ht="12.75" customHeight="1" x14ac:dyDescent="0.2">
      <c r="B27" s="87"/>
      <c r="C27" s="30">
        <f>+H10</f>
        <v>44915</v>
      </c>
      <c r="D27" s="32"/>
      <c r="E27" s="30">
        <f>+H14</f>
        <v>44915</v>
      </c>
      <c r="F27" s="39">
        <f>+H10</f>
        <v>44915</v>
      </c>
      <c r="G27" s="58">
        <f>+F27</f>
        <v>44915</v>
      </c>
      <c r="H27" s="59"/>
      <c r="I27" s="59"/>
      <c r="J27" s="60">
        <f t="shared" ref="J27" si="2">+$P$14</f>
        <v>0.06</v>
      </c>
      <c r="K27" s="59"/>
      <c r="L27" s="59"/>
      <c r="M27" s="61">
        <v>100</v>
      </c>
      <c r="N27" s="61">
        <f>-P12*100</f>
        <v>-100</v>
      </c>
      <c r="O27" s="62">
        <f>(P13*'RdC ON X Clase XX'!C12)*-1</f>
        <v>-473683900.62688643</v>
      </c>
      <c r="P27" s="62"/>
      <c r="Q27" s="1"/>
      <c r="R27" s="16">
        <f t="shared" ref="R27:R32" si="3">I27/365</f>
        <v>0</v>
      </c>
      <c r="S27" s="16">
        <f t="shared" ref="S27:S31" si="4">1/(1+$L$10)^(I27/365)</f>
        <v>1</v>
      </c>
      <c r="T27" s="17">
        <f t="shared" ref="T27:T31" si="5">+N27</f>
        <v>-100</v>
      </c>
      <c r="U27" s="17">
        <f t="shared" ref="U27:U31" si="6">+T27*S27</f>
        <v>-100</v>
      </c>
      <c r="V27" s="17">
        <f t="shared" ref="V27:V31" si="7">+U27*R27</f>
        <v>0</v>
      </c>
      <c r="W27" s="1"/>
      <c r="X27" s="1"/>
      <c r="Y27" s="1"/>
      <c r="Z27" s="1"/>
      <c r="AA27" s="1"/>
      <c r="AB27" s="1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</row>
    <row r="28" spans="2:143" s="12" customFormat="1" ht="12.75" customHeight="1" x14ac:dyDescent="0.2">
      <c r="B28" s="12">
        <f>DATEDIF($C$27,C28,"m")</f>
        <v>3</v>
      </c>
      <c r="C28" s="30">
        <f>IF(C27&gt;0,D28+C27,0)</f>
        <v>45005</v>
      </c>
      <c r="D28" s="32">
        <v>90</v>
      </c>
      <c r="E28" s="30">
        <f t="shared" ref="E28:E31" si="8">+G28</f>
        <v>45005</v>
      </c>
      <c r="F28" s="39">
        <f t="shared" ref="F28:F31" si="9">+F27+D28</f>
        <v>45005</v>
      </c>
      <c r="G28" s="42">
        <f t="shared" ref="G28:G31" si="10">+F28</f>
        <v>45005</v>
      </c>
      <c r="H28" s="43">
        <f t="shared" ref="H28:H30" si="11">+F28-F27</f>
        <v>90</v>
      </c>
      <c r="I28" s="43">
        <f t="shared" ref="I28:I31" si="12">+IF(G28-$H$14&lt;0,0,G28-$H$14)</f>
        <v>90</v>
      </c>
      <c r="J28" s="79">
        <f>+$P$14+P28</f>
        <v>0.75499999999999989</v>
      </c>
      <c r="K28" s="44">
        <f t="shared" ref="K28:K31" si="13">+J28/365*H28*M27</f>
        <v>18.616438356164384</v>
      </c>
      <c r="L28" s="45">
        <v>0</v>
      </c>
      <c r="M28" s="45">
        <f t="shared" ref="M28:M31" si="14">+M27-L28</f>
        <v>100</v>
      </c>
      <c r="N28" s="45">
        <f t="shared" ref="N28:N31" si="15">+IF(G28&gt;$H$14,K28+L28,0)</f>
        <v>18.616438356164384</v>
      </c>
      <c r="O28" s="47">
        <f>+N28*$P$15/100</f>
        <v>88623986.720095679</v>
      </c>
      <c r="P28" s="74">
        <v>0.69499999999999995</v>
      </c>
      <c r="Q28" s="1"/>
      <c r="R28" s="16">
        <f t="shared" si="3"/>
        <v>0.24657534246575341</v>
      </c>
      <c r="S28" s="16">
        <f t="shared" si="4"/>
        <v>0.84164792555125689</v>
      </c>
      <c r="T28" s="17">
        <f t="shared" si="5"/>
        <v>18.616438356164384</v>
      </c>
      <c r="U28" s="75">
        <f t="shared" si="6"/>
        <v>15.668486723618605</v>
      </c>
      <c r="V28" s="17">
        <f t="shared" si="7"/>
        <v>3.8634624797963681</v>
      </c>
      <c r="W28" s="1"/>
      <c r="X28" s="1"/>
      <c r="Y28" s="1"/>
      <c r="Z28" s="1"/>
      <c r="AA28" s="1"/>
      <c r="AB28" s="1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</row>
    <row r="29" spans="2:143" s="12" customFormat="1" ht="12.75" customHeight="1" x14ac:dyDescent="0.2">
      <c r="B29" s="12">
        <f>DATEDIF($C$27,C29,"m")</f>
        <v>6</v>
      </c>
      <c r="C29" s="30">
        <f t="shared" ref="C29:C31" si="16">IF(C28&gt;0,D29+C28,0)</f>
        <v>45097</v>
      </c>
      <c r="D29" s="32">
        <v>92</v>
      </c>
      <c r="E29" s="30">
        <f t="shared" si="8"/>
        <v>45097</v>
      </c>
      <c r="F29" s="39">
        <f t="shared" si="9"/>
        <v>45097</v>
      </c>
      <c r="G29" s="42">
        <f t="shared" si="10"/>
        <v>45097</v>
      </c>
      <c r="H29" s="43">
        <f t="shared" si="11"/>
        <v>92</v>
      </c>
      <c r="I29" s="43">
        <f t="shared" si="12"/>
        <v>182</v>
      </c>
      <c r="J29" s="79">
        <f t="shared" ref="J29:J31" si="17">+$P$14+P29</f>
        <v>0.75499999999999989</v>
      </c>
      <c r="K29" s="44">
        <f t="shared" si="13"/>
        <v>19.030136986301368</v>
      </c>
      <c r="L29" s="45">
        <v>25</v>
      </c>
      <c r="M29" s="45">
        <f t="shared" si="14"/>
        <v>75</v>
      </c>
      <c r="N29" s="45">
        <f t="shared" si="15"/>
        <v>44.030136986301372</v>
      </c>
      <c r="O29" s="47">
        <f t="shared" ref="O29:O31" si="18">+N29*$P$15/100</f>
        <v>209606488.67971411</v>
      </c>
      <c r="P29" s="74">
        <f>+$P$28</f>
        <v>0.69499999999999995</v>
      </c>
      <c r="Q29" s="1"/>
      <c r="R29" s="16">
        <f t="shared" si="3"/>
        <v>0.49863013698630138</v>
      </c>
      <c r="S29" s="16">
        <f t="shared" si="4"/>
        <v>0.70566267562941609</v>
      </c>
      <c r="T29" s="17">
        <f t="shared" si="5"/>
        <v>44.030136986301372</v>
      </c>
      <c r="U29" s="75">
        <f t="shared" si="6"/>
        <v>31.070424274083141</v>
      </c>
      <c r="V29" s="17">
        <f t="shared" si="7"/>
        <v>15.492649912008581</v>
      </c>
      <c r="W29" s="1"/>
      <c r="X29" s="1"/>
      <c r="Y29" s="1"/>
      <c r="Z29" s="1"/>
      <c r="AA29" s="1"/>
      <c r="AB29" s="1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</row>
    <row r="30" spans="2:143" s="12" customFormat="1" ht="12.75" customHeight="1" x14ac:dyDescent="0.2">
      <c r="B30" s="12">
        <f>DATEDIF($C$27,C30,"m")</f>
        <v>9</v>
      </c>
      <c r="C30" s="30">
        <f t="shared" si="16"/>
        <v>45189</v>
      </c>
      <c r="D30" s="32">
        <v>92</v>
      </c>
      <c r="E30" s="30">
        <f t="shared" si="8"/>
        <v>45189</v>
      </c>
      <c r="F30" s="39">
        <f t="shared" si="9"/>
        <v>45189</v>
      </c>
      <c r="G30" s="42">
        <f t="shared" si="10"/>
        <v>45189</v>
      </c>
      <c r="H30" s="43">
        <f t="shared" si="11"/>
        <v>92</v>
      </c>
      <c r="I30" s="43">
        <f t="shared" si="12"/>
        <v>274</v>
      </c>
      <c r="J30" s="79">
        <f t="shared" si="17"/>
        <v>0.75499999999999989</v>
      </c>
      <c r="K30" s="44">
        <f t="shared" si="13"/>
        <v>14.272602739726027</v>
      </c>
      <c r="L30" s="45">
        <v>25</v>
      </c>
      <c r="M30" s="45">
        <f t="shared" si="14"/>
        <v>50</v>
      </c>
      <c r="N30" s="45">
        <f t="shared" si="15"/>
        <v>39.272602739726025</v>
      </c>
      <c r="O30" s="47">
        <f t="shared" si="18"/>
        <v>186958136.51791188</v>
      </c>
      <c r="P30" s="74">
        <f>+$P$28</f>
        <v>0.69499999999999995</v>
      </c>
      <c r="Q30" s="1"/>
      <c r="R30" s="16">
        <f t="shared" si="3"/>
        <v>0.75068493150684934</v>
      </c>
      <c r="S30" s="16">
        <f t="shared" si="4"/>
        <v>0.59164859397748304</v>
      </c>
      <c r="T30" s="17">
        <f t="shared" si="5"/>
        <v>39.272602739726025</v>
      </c>
      <c r="U30" s="75">
        <f t="shared" si="6"/>
        <v>23.235580192795151</v>
      </c>
      <c r="V30" s="17">
        <f t="shared" si="7"/>
        <v>17.442599925550333</v>
      </c>
      <c r="W30" s="1"/>
      <c r="X30" s="1"/>
      <c r="Y30" s="1"/>
      <c r="Z30" s="1"/>
      <c r="AA30" s="1"/>
      <c r="AB30" s="1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</row>
    <row r="31" spans="2:143" s="12" customFormat="1" ht="12.75" customHeight="1" x14ac:dyDescent="0.2">
      <c r="B31" s="12">
        <f>DATEDIF($C$27,C31,"m")</f>
        <v>12</v>
      </c>
      <c r="C31" s="30">
        <f t="shared" si="16"/>
        <v>45280</v>
      </c>
      <c r="D31" s="32">
        <v>91</v>
      </c>
      <c r="E31" s="30">
        <f t="shared" si="8"/>
        <v>45280</v>
      </c>
      <c r="F31" s="39">
        <f t="shared" si="9"/>
        <v>45280</v>
      </c>
      <c r="G31" s="53">
        <f t="shared" si="10"/>
        <v>45280</v>
      </c>
      <c r="H31" s="48">
        <f>+F31-F30</f>
        <v>91</v>
      </c>
      <c r="I31" s="48">
        <f t="shared" si="12"/>
        <v>365</v>
      </c>
      <c r="J31" s="80">
        <f t="shared" si="17"/>
        <v>0.75499999999999989</v>
      </c>
      <c r="K31" s="54">
        <f t="shared" si="13"/>
        <v>9.411643835616438</v>
      </c>
      <c r="L31" s="55">
        <v>50</v>
      </c>
      <c r="M31" s="55">
        <f t="shared" si="14"/>
        <v>0</v>
      </c>
      <c r="N31" s="55">
        <f t="shared" si="15"/>
        <v>59.411643835616438</v>
      </c>
      <c r="O31" s="56">
        <f t="shared" si="18"/>
        <v>282830508.90683657</v>
      </c>
      <c r="P31" s="96">
        <f>+$P$28</f>
        <v>0.69499999999999995</v>
      </c>
      <c r="Q31" s="1"/>
      <c r="R31" s="16">
        <f t="shared" si="3"/>
        <v>1</v>
      </c>
      <c r="S31" s="16">
        <f t="shared" si="4"/>
        <v>0.49700689103906015</v>
      </c>
      <c r="T31" s="17">
        <f t="shared" si="5"/>
        <v>59.411643835616438</v>
      </c>
      <c r="U31" s="75">
        <f t="shared" si="6"/>
        <v>29.52799639425967</v>
      </c>
      <c r="V31" s="17">
        <f t="shared" si="7"/>
        <v>29.52799639425967</v>
      </c>
      <c r="W31" s="1"/>
      <c r="X31" s="1"/>
      <c r="Y31" s="1"/>
      <c r="Z31" s="1"/>
      <c r="AA31" s="1"/>
      <c r="AB31" s="1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</row>
    <row r="32" spans="2:143" ht="12.75" customHeight="1" x14ac:dyDescent="0.2">
      <c r="G32" s="40"/>
      <c r="H32" s="13"/>
      <c r="I32" s="15"/>
      <c r="J32" s="41"/>
      <c r="K32" s="14"/>
      <c r="L32" s="38"/>
      <c r="M32" s="15"/>
      <c r="N32" s="15"/>
      <c r="O32" s="37"/>
      <c r="R32" s="1">
        <f t="shared" si="3"/>
        <v>0</v>
      </c>
      <c r="S32" s="1">
        <f>1/(1+$L$10)^(I32/365)</f>
        <v>1</v>
      </c>
      <c r="T32" s="1"/>
      <c r="U32" s="1"/>
      <c r="V32" s="1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</row>
    <row r="33" spans="7:143" x14ac:dyDescent="0.2">
      <c r="G33" s="18"/>
      <c r="H33" s="13"/>
      <c r="I33" s="13"/>
      <c r="J33" s="13"/>
      <c r="K33" s="13"/>
      <c r="L33" s="22">
        <f>SUM(L28:L31)</f>
        <v>100</v>
      </c>
      <c r="M33" s="15"/>
      <c r="N33" s="15"/>
      <c r="O33" s="23">
        <f>SUM(O27:O31)</f>
        <v>294335220.19767183</v>
      </c>
      <c r="R33" s="19"/>
      <c r="S33" s="19"/>
      <c r="T33" s="17"/>
      <c r="U33" s="17">
        <f>SUM(U28:U31)</f>
        <v>99.502487584756565</v>
      </c>
      <c r="V33" s="17">
        <f>SUM(V28:V31)</f>
        <v>66.326708711614955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</row>
    <row r="34" spans="7:143" x14ac:dyDescent="0.2"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</row>
    <row r="35" spans="7:143" x14ac:dyDescent="0.2">
      <c r="R35" s="1"/>
      <c r="S35" s="1"/>
      <c r="T35" s="1"/>
      <c r="U35" s="1"/>
      <c r="V35" s="1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</row>
    <row r="36" spans="7:143" x14ac:dyDescent="0.2">
      <c r="R36" s="1"/>
      <c r="S36" s="1"/>
      <c r="T36" s="1"/>
      <c r="U36" s="1"/>
      <c r="V36" s="1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</row>
    <row r="37" spans="7:143" x14ac:dyDescent="0.2">
      <c r="R37" s="1"/>
      <c r="S37" s="1"/>
      <c r="T37" s="1"/>
      <c r="U37" s="1"/>
      <c r="V37" s="1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</row>
    <row r="38" spans="7:143" x14ac:dyDescent="0.2">
      <c r="R38" s="1"/>
      <c r="S38" s="1"/>
      <c r="T38" s="1"/>
      <c r="U38" s="1"/>
      <c r="V38" s="1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</row>
    <row r="39" spans="7:143" ht="9.75" customHeight="1" x14ac:dyDescent="0.2">
      <c r="R39" s="1"/>
      <c r="S39" s="1"/>
      <c r="T39" s="1"/>
      <c r="U39" s="1"/>
      <c r="V39" s="1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7:143" x14ac:dyDescent="0.2">
      <c r="R40" s="1"/>
      <c r="S40" s="1"/>
      <c r="T40" s="1"/>
      <c r="U40" s="1"/>
      <c r="V40" s="1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7:143" x14ac:dyDescent="0.2">
      <c r="R41" s="1"/>
      <c r="S41" s="1"/>
      <c r="T41" s="1"/>
      <c r="U41" s="1"/>
      <c r="V41" s="1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7:143" x14ac:dyDescent="0.2">
      <c r="R42" s="1"/>
      <c r="S42" s="1"/>
      <c r="T42" s="1"/>
      <c r="U42" s="1"/>
      <c r="V42" s="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7:143" hidden="1" x14ac:dyDescent="0.2">
      <c r="R43" s="1"/>
      <c r="S43" s="1"/>
      <c r="T43" s="1"/>
      <c r="U43" s="1"/>
      <c r="V43" s="1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7:143" hidden="1" x14ac:dyDescent="0.2">
      <c r="H44" s="57"/>
      <c r="I44" s="57" t="s">
        <v>23</v>
      </c>
      <c r="J44" s="57"/>
      <c r="K44" s="57" t="s">
        <v>24</v>
      </c>
      <c r="R44" s="1"/>
      <c r="S44" s="1"/>
      <c r="T44" s="1"/>
      <c r="U44" s="1"/>
      <c r="V44" s="1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7:143" hidden="1" x14ac:dyDescent="0.2">
      <c r="H45" s="57">
        <v>1</v>
      </c>
      <c r="I45" s="57"/>
      <c r="J45" s="57"/>
      <c r="K45" s="57"/>
      <c r="R45" s="1"/>
      <c r="S45" s="1"/>
      <c r="T45" s="1"/>
      <c r="U45" s="1"/>
      <c r="V45" s="1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7:143" hidden="1" x14ac:dyDescent="0.2">
      <c r="H46" s="57">
        <v>2</v>
      </c>
      <c r="I46" s="57"/>
      <c r="J46" s="57"/>
      <c r="K46" s="57"/>
      <c r="R46" s="1"/>
      <c r="S46" s="1"/>
      <c r="T46" s="1"/>
      <c r="U46" s="1"/>
      <c r="V46" s="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7:143" hidden="1" x14ac:dyDescent="0.2">
      <c r="H47" s="57">
        <v>3</v>
      </c>
      <c r="I47" s="57">
        <v>1</v>
      </c>
      <c r="J47" s="57"/>
      <c r="K47" s="57"/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7:143" hidden="1" x14ac:dyDescent="0.2">
      <c r="H48" s="57">
        <v>4</v>
      </c>
      <c r="I48" s="57"/>
      <c r="J48" s="57"/>
      <c r="K48" s="57"/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hidden="1" x14ac:dyDescent="0.2">
      <c r="H49" s="57">
        <v>5</v>
      </c>
      <c r="I49" s="57"/>
      <c r="J49" s="57"/>
      <c r="K49" s="57"/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hidden="1" x14ac:dyDescent="0.2">
      <c r="H50" s="57">
        <v>6</v>
      </c>
      <c r="I50" s="57">
        <v>2</v>
      </c>
      <c r="J50" s="57">
        <v>1</v>
      </c>
      <c r="K50" s="57"/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H51" s="57">
        <v>7</v>
      </c>
      <c r="I51" s="57"/>
      <c r="J51" s="57"/>
      <c r="K51" s="57"/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>
        <v>8</v>
      </c>
      <c r="I52" s="57"/>
      <c r="J52" s="57"/>
      <c r="K52" s="57"/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9</v>
      </c>
      <c r="I53" s="57">
        <v>3</v>
      </c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10</v>
      </c>
      <c r="I54" s="57"/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11</v>
      </c>
      <c r="I55" s="57"/>
      <c r="J55" s="57"/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12</v>
      </c>
      <c r="I56" s="57">
        <v>4</v>
      </c>
      <c r="J56" s="57">
        <v>2</v>
      </c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13</v>
      </c>
      <c r="I57" s="57"/>
      <c r="J57" s="57"/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14</v>
      </c>
      <c r="I58" s="57"/>
      <c r="J58" s="57"/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15</v>
      </c>
      <c r="I59" s="57">
        <v>5</v>
      </c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16</v>
      </c>
      <c r="I60" s="57"/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17</v>
      </c>
      <c r="I61" s="57"/>
      <c r="J61" s="57"/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18</v>
      </c>
      <c r="I62" s="57">
        <v>6</v>
      </c>
      <c r="J62" s="57">
        <v>3</v>
      </c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19</v>
      </c>
      <c r="I63" s="57"/>
      <c r="J63" s="57"/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20</v>
      </c>
      <c r="I64" s="57"/>
      <c r="J64" s="57"/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21</v>
      </c>
      <c r="I65" s="57">
        <v>7</v>
      </c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22</v>
      </c>
      <c r="I66" s="57"/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23</v>
      </c>
      <c r="I67" s="57"/>
      <c r="J67" s="57"/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24</v>
      </c>
      <c r="I68" s="57">
        <v>8</v>
      </c>
      <c r="J68" s="57">
        <v>4</v>
      </c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25</v>
      </c>
      <c r="I69" s="57"/>
      <c r="J69" s="57"/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26</v>
      </c>
      <c r="I70" s="57"/>
      <c r="J70" s="57"/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27</v>
      </c>
      <c r="I71" s="57">
        <v>9</v>
      </c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28</v>
      </c>
      <c r="I72" s="57"/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29</v>
      </c>
      <c r="I73" s="57"/>
      <c r="J73" s="57"/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30</v>
      </c>
      <c r="I74" s="57">
        <v>10</v>
      </c>
      <c r="J74" s="57">
        <v>5</v>
      </c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31</v>
      </c>
      <c r="I75" s="57"/>
      <c r="J75" s="57"/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32</v>
      </c>
      <c r="I76" s="57"/>
      <c r="J76" s="57"/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33</v>
      </c>
      <c r="I77" s="57">
        <v>11</v>
      </c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34</v>
      </c>
      <c r="I78" s="57"/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35</v>
      </c>
      <c r="I79" s="57"/>
      <c r="J79" s="57"/>
      <c r="K79" s="57"/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36</v>
      </c>
      <c r="I80" s="57">
        <v>12</v>
      </c>
      <c r="J80" s="57">
        <v>6</v>
      </c>
      <c r="K80" s="57">
        <v>1</v>
      </c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37</v>
      </c>
      <c r="I81" s="57"/>
      <c r="J81" s="57"/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38</v>
      </c>
      <c r="I82" s="57"/>
      <c r="J82" s="57"/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39</v>
      </c>
      <c r="I83" s="57">
        <v>13</v>
      </c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40</v>
      </c>
      <c r="I84" s="57"/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41</v>
      </c>
      <c r="I85" s="57"/>
      <c r="J85" s="57"/>
      <c r="K85" s="57"/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42</v>
      </c>
      <c r="I86" s="57">
        <v>14</v>
      </c>
      <c r="J86" s="57">
        <v>7</v>
      </c>
      <c r="K86" s="57">
        <v>2</v>
      </c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43</v>
      </c>
      <c r="I87" s="57"/>
      <c r="J87" s="57"/>
      <c r="K87" s="57"/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44</v>
      </c>
      <c r="I88" s="57"/>
      <c r="J88" s="57"/>
      <c r="K88" s="57"/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45</v>
      </c>
      <c r="I89" s="57">
        <v>15</v>
      </c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46</v>
      </c>
      <c r="I90" s="57"/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47</v>
      </c>
      <c r="I91" s="57"/>
      <c r="J91" s="57"/>
      <c r="K91" s="57"/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48</v>
      </c>
      <c r="I92" s="57">
        <v>16</v>
      </c>
      <c r="J92" s="57">
        <v>8</v>
      </c>
      <c r="K92" s="57">
        <v>3</v>
      </c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49</v>
      </c>
      <c r="I93" s="57"/>
      <c r="J93" s="57"/>
      <c r="K93" s="57"/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50</v>
      </c>
      <c r="I94" s="57"/>
      <c r="J94" s="57"/>
      <c r="K94" s="57"/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51</v>
      </c>
      <c r="I95" s="57">
        <v>17</v>
      </c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52</v>
      </c>
      <c r="I96" s="57"/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53</v>
      </c>
      <c r="I97" s="57"/>
      <c r="J97" s="57"/>
      <c r="K97" s="57"/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54</v>
      </c>
      <c r="I98" s="57">
        <v>18</v>
      </c>
      <c r="J98" s="57">
        <v>9</v>
      </c>
      <c r="K98" s="57">
        <v>4</v>
      </c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55</v>
      </c>
      <c r="I99" s="57"/>
      <c r="J99" s="57"/>
      <c r="K99" s="57"/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56</v>
      </c>
      <c r="I100" s="57"/>
      <c r="J100" s="57"/>
      <c r="K100" s="57"/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57</v>
      </c>
      <c r="I101" s="57">
        <v>19</v>
      </c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58</v>
      </c>
      <c r="I102" s="57"/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59</v>
      </c>
      <c r="I103" s="57"/>
      <c r="J103" s="57"/>
      <c r="K103" s="57"/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H104" s="57">
        <v>60</v>
      </c>
      <c r="I104" s="57">
        <v>20</v>
      </c>
      <c r="J104" s="57">
        <v>10</v>
      </c>
      <c r="K104" s="57">
        <v>5</v>
      </c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hidden="1" x14ac:dyDescent="0.2"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x14ac:dyDescent="0.2"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x14ac:dyDescent="0.2"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x14ac:dyDescent="0.2"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x14ac:dyDescent="0.2"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x14ac:dyDescent="0.2"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x14ac:dyDescent="0.2"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x14ac:dyDescent="0.2"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R267" s="1"/>
      <c r="S267" s="1"/>
      <c r="T267" s="1"/>
      <c r="U267" s="1"/>
      <c r="V267" s="1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  <row r="270" spans="18:143" x14ac:dyDescent="0.2"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</row>
  </sheetData>
  <sheetProtection selectLockedCells="1"/>
  <mergeCells count="38">
    <mergeCell ref="M24:M25"/>
    <mergeCell ref="N24:N25"/>
    <mergeCell ref="O24:O25"/>
    <mergeCell ref="P24:P25"/>
    <mergeCell ref="N15:O15"/>
    <mergeCell ref="P15:Q15"/>
    <mergeCell ref="G24:G25"/>
    <mergeCell ref="H24:H25"/>
    <mergeCell ref="I24:I25"/>
    <mergeCell ref="J24:J25"/>
    <mergeCell ref="K24:K25"/>
    <mergeCell ref="L24:L25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3" min="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7"/>
  <sheetViews>
    <sheetView showGridLines="0" topLeftCell="A10" zoomScaleNormal="100" zoomScaleSheetLayoutView="130" workbookViewId="0">
      <selection activeCell="J29" sqref="J29"/>
    </sheetView>
  </sheetViews>
  <sheetFormatPr baseColWidth="10" defaultColWidth="11.42578125" defaultRowHeight="11.25" x14ac:dyDescent="0.2"/>
  <cols>
    <col min="1" max="1" width="11.42578125" style="1"/>
    <col min="2" max="2" width="11.85546875" style="1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3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4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4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4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4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4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4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4:143" ht="15.75" x14ac:dyDescent="0.25">
      <c r="G8" s="148" t="s">
        <v>60</v>
      </c>
      <c r="H8" s="149"/>
      <c r="I8" s="149"/>
      <c r="J8" s="149"/>
      <c r="K8" s="149"/>
      <c r="L8" s="149"/>
      <c r="M8" s="149"/>
      <c r="N8" s="149"/>
      <c r="O8" s="149"/>
      <c r="P8" s="150"/>
      <c r="Q8" s="15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4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4:143" ht="12.75" customHeight="1" x14ac:dyDescent="0.2">
      <c r="G10" s="83" t="s">
        <v>0</v>
      </c>
      <c r="H10" s="152">
        <v>44915</v>
      </c>
      <c r="I10" s="153"/>
      <c r="J10" s="154" t="s">
        <v>1</v>
      </c>
      <c r="K10" s="155"/>
      <c r="L10" s="156">
        <f>XIRR(O30:O38,E30:E38)</f>
        <v>1.022255146503448</v>
      </c>
      <c r="M10" s="157"/>
      <c r="N10" s="154" t="s">
        <v>27</v>
      </c>
      <c r="O10" s="155"/>
      <c r="P10" s="156" t="s">
        <v>36</v>
      </c>
      <c r="Q10" s="157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4:143" ht="12.75" customHeight="1" x14ac:dyDescent="0.2">
      <c r="G11" s="84" t="s">
        <v>2</v>
      </c>
      <c r="H11" s="165">
        <f>+G38</f>
        <v>45646</v>
      </c>
      <c r="I11" s="166"/>
      <c r="J11" s="159" t="s">
        <v>18</v>
      </c>
      <c r="K11" s="160"/>
      <c r="L11" s="163">
        <f>+(((1+L10)^(90/365))-1)*(365/90)</f>
        <v>0.76905162605500088</v>
      </c>
      <c r="M11" s="164"/>
      <c r="N11" s="159" t="s">
        <v>30</v>
      </c>
      <c r="O11" s="160"/>
      <c r="P11" s="167" t="s">
        <v>34</v>
      </c>
      <c r="Q11" s="168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4:143" ht="12.75" customHeight="1" x14ac:dyDescent="0.2">
      <c r="D12" s="34"/>
      <c r="G12" s="84" t="s">
        <v>28</v>
      </c>
      <c r="H12" s="163" t="s">
        <v>40</v>
      </c>
      <c r="I12" s="164"/>
      <c r="J12" s="159" t="s">
        <v>29</v>
      </c>
      <c r="K12" s="160"/>
      <c r="L12" s="161">
        <f>+(V40/U40)*12</f>
        <v>11.321396914094144</v>
      </c>
      <c r="M12" s="162"/>
      <c r="N12" s="159" t="s">
        <v>37</v>
      </c>
      <c r="O12" s="160"/>
      <c r="P12" s="163">
        <v>1</v>
      </c>
      <c r="Q12" s="164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4:143" ht="12.75" customHeight="1" x14ac:dyDescent="0.2">
      <c r="G13" s="84"/>
      <c r="H13" s="177"/>
      <c r="I13" s="178"/>
      <c r="J13" s="159" t="s">
        <v>25</v>
      </c>
      <c r="K13" s="160"/>
      <c r="L13" s="161" t="s">
        <v>42</v>
      </c>
      <c r="M13" s="162"/>
      <c r="N13" s="159" t="s">
        <v>32</v>
      </c>
      <c r="O13" s="160"/>
      <c r="P13" s="179">
        <v>800000000</v>
      </c>
      <c r="Q13" s="180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4:143" ht="12.75" customHeight="1" x14ac:dyDescent="0.2">
      <c r="G14" s="85" t="s">
        <v>3</v>
      </c>
      <c r="H14" s="169">
        <f>+$H$10</f>
        <v>44915</v>
      </c>
      <c r="I14" s="170"/>
      <c r="J14" s="171" t="s">
        <v>26</v>
      </c>
      <c r="K14" s="172"/>
      <c r="L14" s="173">
        <v>24</v>
      </c>
      <c r="M14" s="174"/>
      <c r="N14" s="171" t="s">
        <v>35</v>
      </c>
      <c r="O14" s="172"/>
      <c r="P14" s="191">
        <v>7.4999999999999997E-2</v>
      </c>
      <c r="Q14" s="176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4:143" x14ac:dyDescent="0.2">
      <c r="H15" s="24"/>
      <c r="I15" s="6"/>
      <c r="J15" s="6"/>
      <c r="M15" s="7"/>
      <c r="N15" s="8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4:143" x14ac:dyDescent="0.2">
      <c r="I16" s="67" t="s">
        <v>38</v>
      </c>
      <c r="J16" s="67" t="s">
        <v>10</v>
      </c>
      <c r="K16" s="68" t="s">
        <v>16</v>
      </c>
      <c r="L16" s="77" t="s">
        <v>11</v>
      </c>
      <c r="M16" s="69" t="s">
        <v>12</v>
      </c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ht="12.75" customHeight="1" x14ac:dyDescent="0.2">
      <c r="I17" s="81">
        <f>DATEDIF($C$30,J17,"m")</f>
        <v>3</v>
      </c>
      <c r="J17" s="70">
        <f>+G31</f>
        <v>45005</v>
      </c>
      <c r="K17" s="64">
        <f>+$P$13*L31/100</f>
        <v>0</v>
      </c>
      <c r="L17" s="63">
        <f>+$P$13*K31/100</f>
        <v>151890410.95890409</v>
      </c>
      <c r="M17" s="21">
        <f>SUM(K17:L17)</f>
        <v>151890410.95890409</v>
      </c>
      <c r="N17" s="8"/>
      <c r="P17" s="31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2.75" customHeight="1" x14ac:dyDescent="0.2">
      <c r="I18" s="81">
        <f t="shared" ref="I18:I24" si="0">DATEDIF($C$30,J18,"m")</f>
        <v>6</v>
      </c>
      <c r="J18" s="70">
        <f t="shared" ref="J18:J23" si="1">+G32</f>
        <v>45097</v>
      </c>
      <c r="K18" s="64">
        <f t="shared" ref="K18:K24" si="2">+$P$13*L32/100</f>
        <v>0</v>
      </c>
      <c r="L18" s="63">
        <f t="shared" ref="L18:L24" si="3">+$P$13*K32/100</f>
        <v>155265753.42465749</v>
      </c>
      <c r="M18" s="21">
        <f t="shared" ref="M18:M24" si="4">SUM(K18:L18)</f>
        <v>155265753.42465749</v>
      </c>
      <c r="N18" s="8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2.75" customHeight="1" x14ac:dyDescent="0.2">
      <c r="I19" s="81">
        <f t="shared" si="0"/>
        <v>9</v>
      </c>
      <c r="J19" s="70">
        <f t="shared" si="1"/>
        <v>45189</v>
      </c>
      <c r="K19" s="64">
        <f t="shared" si="2"/>
        <v>128000000</v>
      </c>
      <c r="L19" s="63">
        <f t="shared" si="3"/>
        <v>155265753.42465749</v>
      </c>
      <c r="M19" s="21">
        <f t="shared" si="4"/>
        <v>283265753.42465746</v>
      </c>
      <c r="N19" s="8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2.75" customHeight="1" x14ac:dyDescent="0.2">
      <c r="I20" s="81">
        <f t="shared" si="0"/>
        <v>12</v>
      </c>
      <c r="J20" s="70">
        <f t="shared" si="1"/>
        <v>45280</v>
      </c>
      <c r="K20" s="64">
        <f t="shared" si="2"/>
        <v>128000000</v>
      </c>
      <c r="L20" s="63">
        <f t="shared" si="3"/>
        <v>129005589.04109587</v>
      </c>
      <c r="M20" s="21">
        <f t="shared" si="4"/>
        <v>257005589.04109585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2.75" customHeight="1" x14ac:dyDescent="0.2">
      <c r="I21" s="81">
        <f t="shared" si="0"/>
        <v>15</v>
      </c>
      <c r="J21" s="70">
        <f t="shared" si="1"/>
        <v>45371</v>
      </c>
      <c r="K21" s="64">
        <f t="shared" si="2"/>
        <v>128000000</v>
      </c>
      <c r="L21" s="63">
        <f t="shared" si="3"/>
        <v>104433095.89041094</v>
      </c>
      <c r="M21" s="21">
        <f t="shared" si="4"/>
        <v>232433095.89041096</v>
      </c>
      <c r="N21" s="8"/>
      <c r="P21" s="31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ht="12.75" customHeight="1" x14ac:dyDescent="0.2">
      <c r="I22" s="81">
        <f t="shared" si="0"/>
        <v>18</v>
      </c>
      <c r="J22" s="70">
        <f t="shared" si="1"/>
        <v>45463</v>
      </c>
      <c r="K22" s="64">
        <f t="shared" si="2"/>
        <v>128000000</v>
      </c>
      <c r="L22" s="63">
        <f t="shared" si="3"/>
        <v>80738191.78082189</v>
      </c>
      <c r="M22" s="21">
        <f t="shared" si="4"/>
        <v>208738191.78082189</v>
      </c>
      <c r="N22" s="8"/>
      <c r="P22" s="31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12.75" customHeight="1" x14ac:dyDescent="0.2">
      <c r="I23" s="81">
        <f t="shared" si="0"/>
        <v>21</v>
      </c>
      <c r="J23" s="70">
        <f t="shared" si="1"/>
        <v>45555</v>
      </c>
      <c r="K23" s="64">
        <f t="shared" si="2"/>
        <v>128000000</v>
      </c>
      <c r="L23" s="63">
        <f t="shared" si="3"/>
        <v>55895671.232876688</v>
      </c>
      <c r="M23" s="21">
        <f t="shared" si="4"/>
        <v>183895671.23287669</v>
      </c>
      <c r="N23" s="8"/>
      <c r="P23" s="3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ht="12.75" customHeight="1" x14ac:dyDescent="0.2">
      <c r="I24" s="82">
        <f t="shared" si="0"/>
        <v>24</v>
      </c>
      <c r="J24" s="70">
        <f>+G38</f>
        <v>45646</v>
      </c>
      <c r="K24" s="64">
        <f t="shared" si="2"/>
        <v>160000000</v>
      </c>
      <c r="L24" s="63">
        <f t="shared" si="3"/>
        <v>30715616.438356157</v>
      </c>
      <c r="M24" s="21">
        <f t="shared" si="4"/>
        <v>190715616.43835616</v>
      </c>
      <c r="N24" s="8"/>
      <c r="P24" s="31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ht="12.75" customHeight="1" x14ac:dyDescent="0.2">
      <c r="J25" s="71" t="s">
        <v>12</v>
      </c>
      <c r="K25" s="72">
        <f>SUM(K17:K24)</f>
        <v>800000000</v>
      </c>
      <c r="L25" s="78">
        <f>SUM(L17:L24)</f>
        <v>863210082.19178057</v>
      </c>
      <c r="M25" s="73">
        <f>SUM(K25:L25)</f>
        <v>1663210082.1917806</v>
      </c>
      <c r="N25" s="8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x14ac:dyDescent="0.2">
      <c r="H26" s="46"/>
      <c r="I26" s="6"/>
      <c r="J26" s="6"/>
      <c r="M26" s="7"/>
      <c r="N26" s="8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pans="2:143" ht="14.25" customHeight="1" x14ac:dyDescent="0.2">
      <c r="G27" s="187" t="s">
        <v>17</v>
      </c>
      <c r="H27" s="189" t="s">
        <v>31</v>
      </c>
      <c r="I27" s="189" t="s">
        <v>13</v>
      </c>
      <c r="J27" s="189" t="s">
        <v>21</v>
      </c>
      <c r="K27" s="181" t="s">
        <v>20</v>
      </c>
      <c r="L27" s="181" t="s">
        <v>4</v>
      </c>
      <c r="M27" s="181" t="s">
        <v>14</v>
      </c>
      <c r="N27" s="183" t="s">
        <v>5</v>
      </c>
      <c r="O27" s="185" t="s">
        <v>15</v>
      </c>
      <c r="P27" s="185" t="s">
        <v>33</v>
      </c>
      <c r="R27" s="9" t="s">
        <v>19</v>
      </c>
      <c r="S27" s="9" t="s">
        <v>6</v>
      </c>
      <c r="T27" s="9" t="s">
        <v>7</v>
      </c>
      <c r="U27" s="9" t="s">
        <v>8</v>
      </c>
      <c r="V27" s="9" t="s">
        <v>9</v>
      </c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spans="2:143" x14ac:dyDescent="0.2">
      <c r="G28" s="188"/>
      <c r="H28" s="190"/>
      <c r="I28" s="190"/>
      <c r="J28" s="190"/>
      <c r="K28" s="182"/>
      <c r="L28" s="182"/>
      <c r="M28" s="182"/>
      <c r="N28" s="184"/>
      <c r="O28" s="186"/>
      <c r="P28" s="186"/>
      <c r="R28" s="10"/>
      <c r="S28" s="11">
        <f>+L10</f>
        <v>1.022255146503448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spans="2:143" x14ac:dyDescent="0.2">
      <c r="C29" s="1" t="s">
        <v>22</v>
      </c>
      <c r="G29" s="65"/>
      <c r="H29" s="49"/>
      <c r="I29" s="49"/>
      <c r="J29" s="20">
        <f>+J30</f>
        <v>7.4999999999999997E-2</v>
      </c>
      <c r="K29" s="50"/>
      <c r="L29" s="50"/>
      <c r="M29" s="51">
        <f>+M30</f>
        <v>100</v>
      </c>
      <c r="N29" s="52"/>
      <c r="O29" s="66"/>
      <c r="R29" s="10"/>
      <c r="S29" s="11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spans="2:143" s="12" customFormat="1" ht="12.75" customHeight="1" x14ac:dyDescent="0.2">
      <c r="C30" s="30">
        <f>+H10</f>
        <v>44915</v>
      </c>
      <c r="D30" s="32"/>
      <c r="E30" s="30">
        <f>+H14</f>
        <v>44915</v>
      </c>
      <c r="F30" s="39">
        <f>+H10</f>
        <v>44915</v>
      </c>
      <c r="G30" s="58">
        <f>+F30</f>
        <v>44915</v>
      </c>
      <c r="H30" s="59"/>
      <c r="I30" s="59"/>
      <c r="J30" s="60">
        <f t="shared" ref="J30" si="5">+$P$14</f>
        <v>7.4999999999999997E-2</v>
      </c>
      <c r="K30" s="59"/>
      <c r="L30" s="59"/>
      <c r="M30" s="61">
        <v>100</v>
      </c>
      <c r="N30" s="61">
        <f>-P12*100</f>
        <v>-100</v>
      </c>
      <c r="O30" s="62">
        <f>+P13*-1</f>
        <v>-800000000</v>
      </c>
      <c r="P30" s="62"/>
      <c r="Q30" s="1"/>
      <c r="R30" s="16">
        <f t="shared" ref="R30:R39" si="6">I30/365</f>
        <v>0</v>
      </c>
      <c r="S30" s="16">
        <f t="shared" ref="S30:S39" si="7">1/(1+$L$10)^(I30/365)</f>
        <v>1</v>
      </c>
      <c r="T30" s="17">
        <f t="shared" ref="T30:T38" si="8">+N30</f>
        <v>-100</v>
      </c>
      <c r="U30" s="17">
        <f t="shared" ref="U30:U38" si="9">+T30*S30</f>
        <v>-100</v>
      </c>
      <c r="V30" s="17">
        <f t="shared" ref="V30:V38" si="10">+U30*R30</f>
        <v>0</v>
      </c>
      <c r="W30" s="1"/>
      <c r="X30" s="1"/>
      <c r="Y30" s="1"/>
      <c r="Z30" s="1"/>
      <c r="AA30" s="1"/>
      <c r="AB30" s="1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</row>
    <row r="31" spans="2:143" s="12" customFormat="1" ht="12.75" customHeight="1" x14ac:dyDescent="0.2">
      <c r="B31" s="12">
        <f>DATEDIF($C$30,C31,"m")</f>
        <v>3</v>
      </c>
      <c r="C31" s="30">
        <f>IF(C30&gt;0,D31+C30,0)</f>
        <v>45005</v>
      </c>
      <c r="D31" s="32">
        <v>90</v>
      </c>
      <c r="E31" s="30">
        <f t="shared" ref="E31:E38" si="11">+G31</f>
        <v>45005</v>
      </c>
      <c r="F31" s="39">
        <f t="shared" ref="F31:F38" si="12">+F30+D31</f>
        <v>45005</v>
      </c>
      <c r="G31" s="42">
        <f t="shared" ref="G31:G38" si="13">+F31</f>
        <v>45005</v>
      </c>
      <c r="H31" s="43">
        <f t="shared" ref="H31:H38" si="14">+F31-F30</f>
        <v>90</v>
      </c>
      <c r="I31" s="43">
        <f t="shared" ref="I31:I38" si="15">+IF(G31-$H$14&lt;0,0,G31-$H$14)</f>
        <v>90</v>
      </c>
      <c r="J31" s="79">
        <f>+$P$14+P31</f>
        <v>0.76999999999999991</v>
      </c>
      <c r="K31" s="44">
        <f t="shared" ref="K31:K38" si="16">+J31/365*H31*M30</f>
        <v>18.986301369863011</v>
      </c>
      <c r="L31" s="45">
        <v>0</v>
      </c>
      <c r="M31" s="45">
        <f t="shared" ref="M31:M37" si="17">+M30-L31</f>
        <v>100</v>
      </c>
      <c r="N31" s="45">
        <f t="shared" ref="N31:N38" si="18">+IF(G31&gt;$H$14,K31+L31,0)</f>
        <v>18.986301369863011</v>
      </c>
      <c r="O31" s="47">
        <f t="shared" ref="O31:O38" si="19">+N31*$P$13/100</f>
        <v>151890410.95890409</v>
      </c>
      <c r="P31" s="74">
        <v>0.69499999999999995</v>
      </c>
      <c r="Q31" s="1"/>
      <c r="R31" s="16">
        <f t="shared" si="6"/>
        <v>0.24657534246575341</v>
      </c>
      <c r="S31" s="16">
        <f t="shared" si="7"/>
        <v>0.84059808454741902</v>
      </c>
      <c r="T31" s="17">
        <f t="shared" si="8"/>
        <v>18.986301369863011</v>
      </c>
      <c r="U31" s="75">
        <f t="shared" si="9"/>
        <v>15.959848564146885</v>
      </c>
      <c r="V31" s="17">
        <f t="shared" si="10"/>
        <v>3.9353051254060811</v>
      </c>
      <c r="W31" s="1"/>
      <c r="X31" s="1"/>
      <c r="Y31" s="1"/>
      <c r="Z31" s="1"/>
      <c r="AA31" s="1"/>
      <c r="AB31" s="1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</row>
    <row r="32" spans="2:143" s="12" customFormat="1" ht="12.75" customHeight="1" x14ac:dyDescent="0.2">
      <c r="B32" s="12">
        <f t="shared" ref="B32:B38" si="20">DATEDIF($C$30,C32,"m")</f>
        <v>6</v>
      </c>
      <c r="C32" s="30">
        <f t="shared" ref="C32:C38" si="21">IF(C31&gt;0,D32+C31,0)</f>
        <v>45097</v>
      </c>
      <c r="D32" s="32">
        <v>92</v>
      </c>
      <c r="E32" s="30">
        <f t="shared" si="11"/>
        <v>45097</v>
      </c>
      <c r="F32" s="39">
        <f t="shared" si="12"/>
        <v>45097</v>
      </c>
      <c r="G32" s="42">
        <f t="shared" si="13"/>
        <v>45097</v>
      </c>
      <c r="H32" s="43">
        <f t="shared" si="14"/>
        <v>92</v>
      </c>
      <c r="I32" s="43">
        <f t="shared" si="15"/>
        <v>182</v>
      </c>
      <c r="J32" s="79">
        <f t="shared" ref="J32:J38" si="22">+$P$14+P32</f>
        <v>0.76999999999999991</v>
      </c>
      <c r="K32" s="44">
        <f t="shared" si="16"/>
        <v>19.408219178082188</v>
      </c>
      <c r="L32" s="45">
        <v>0</v>
      </c>
      <c r="M32" s="45">
        <f t="shared" si="17"/>
        <v>100</v>
      </c>
      <c r="N32" s="45">
        <f t="shared" si="18"/>
        <v>19.408219178082188</v>
      </c>
      <c r="O32" s="47">
        <f t="shared" si="19"/>
        <v>155265753.42465749</v>
      </c>
      <c r="P32" s="74">
        <f>+$P$31</f>
        <v>0.69499999999999995</v>
      </c>
      <c r="Q32" s="1"/>
      <c r="R32" s="16">
        <f t="shared" si="6"/>
        <v>0.49863013698630138</v>
      </c>
      <c r="S32" s="16">
        <f t="shared" si="7"/>
        <v>0.70388381414113388</v>
      </c>
      <c r="T32" s="17">
        <f t="shared" si="8"/>
        <v>19.408219178082188</v>
      </c>
      <c r="U32" s="75">
        <f t="shared" si="9"/>
        <v>13.661131340755594</v>
      </c>
      <c r="V32" s="17">
        <f t="shared" si="10"/>
        <v>6.8118517918288166</v>
      </c>
      <c r="W32" s="1"/>
      <c r="X32" s="1"/>
      <c r="Y32" s="1"/>
      <c r="Z32" s="1"/>
      <c r="AA32" s="1"/>
      <c r="AB32" s="1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</row>
    <row r="33" spans="2:143" s="12" customFormat="1" ht="12.75" customHeight="1" x14ac:dyDescent="0.2">
      <c r="B33" s="12">
        <f t="shared" si="20"/>
        <v>9</v>
      </c>
      <c r="C33" s="30">
        <f t="shared" si="21"/>
        <v>45189</v>
      </c>
      <c r="D33" s="32">
        <v>92</v>
      </c>
      <c r="E33" s="30">
        <f t="shared" si="11"/>
        <v>45189</v>
      </c>
      <c r="F33" s="39">
        <f t="shared" si="12"/>
        <v>45189</v>
      </c>
      <c r="G33" s="42">
        <f t="shared" si="13"/>
        <v>45189</v>
      </c>
      <c r="H33" s="43">
        <f t="shared" si="14"/>
        <v>92</v>
      </c>
      <c r="I33" s="43">
        <f t="shared" si="15"/>
        <v>274</v>
      </c>
      <c r="J33" s="79">
        <f t="shared" si="22"/>
        <v>0.76999999999999991</v>
      </c>
      <c r="K33" s="44">
        <f t="shared" si="16"/>
        <v>19.408219178082188</v>
      </c>
      <c r="L33" s="45">
        <v>16</v>
      </c>
      <c r="M33" s="45">
        <f t="shared" si="17"/>
        <v>84</v>
      </c>
      <c r="N33" s="45">
        <f t="shared" si="18"/>
        <v>35.408219178082192</v>
      </c>
      <c r="O33" s="47">
        <f t="shared" si="19"/>
        <v>283265753.42465752</v>
      </c>
      <c r="P33" s="74">
        <f t="shared" ref="P33:P38" si="23">+$P$31</f>
        <v>0.69499999999999995</v>
      </c>
      <c r="Q33" s="1"/>
      <c r="R33" s="16">
        <f t="shared" si="6"/>
        <v>0.75068493150684934</v>
      </c>
      <c r="S33" s="16">
        <f t="shared" si="7"/>
        <v>0.58940465475438675</v>
      </c>
      <c r="T33" s="17">
        <f t="shared" si="8"/>
        <v>35.408219178082192</v>
      </c>
      <c r="U33" s="75">
        <f t="shared" si="9"/>
        <v>20.869769200125191</v>
      </c>
      <c r="V33" s="17">
        <f t="shared" si="10"/>
        <v>15.666621262559733</v>
      </c>
      <c r="W33" s="1"/>
      <c r="X33" s="1"/>
      <c r="Y33" s="1"/>
      <c r="Z33" s="1"/>
      <c r="AA33" s="1"/>
      <c r="AB33" s="1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</row>
    <row r="34" spans="2:143" s="12" customFormat="1" ht="12.75" customHeight="1" x14ac:dyDescent="0.2">
      <c r="B34" s="12">
        <f t="shared" si="20"/>
        <v>12</v>
      </c>
      <c r="C34" s="30">
        <f t="shared" si="21"/>
        <v>45280</v>
      </c>
      <c r="D34" s="32">
        <v>91</v>
      </c>
      <c r="E34" s="30">
        <f t="shared" si="11"/>
        <v>45280</v>
      </c>
      <c r="F34" s="39">
        <f t="shared" si="12"/>
        <v>45280</v>
      </c>
      <c r="G34" s="42">
        <f t="shared" si="13"/>
        <v>45280</v>
      </c>
      <c r="H34" s="43">
        <f t="shared" si="14"/>
        <v>91</v>
      </c>
      <c r="I34" s="43">
        <f t="shared" si="15"/>
        <v>365</v>
      </c>
      <c r="J34" s="79">
        <f t="shared" si="22"/>
        <v>0.76999999999999991</v>
      </c>
      <c r="K34" s="44">
        <f t="shared" si="16"/>
        <v>16.125698630136984</v>
      </c>
      <c r="L34" s="45">
        <v>16</v>
      </c>
      <c r="M34" s="45">
        <f t="shared" si="17"/>
        <v>68</v>
      </c>
      <c r="N34" s="45">
        <f t="shared" si="18"/>
        <v>32.125698630136981</v>
      </c>
      <c r="O34" s="47">
        <f t="shared" si="19"/>
        <v>257005589.04109585</v>
      </c>
      <c r="P34" s="74">
        <f t="shared" si="23"/>
        <v>0.69499999999999995</v>
      </c>
      <c r="Q34" s="1"/>
      <c r="R34" s="16">
        <f t="shared" si="6"/>
        <v>1</v>
      </c>
      <c r="S34" s="16">
        <f t="shared" si="7"/>
        <v>0.49449744347494234</v>
      </c>
      <c r="T34" s="17">
        <f t="shared" si="8"/>
        <v>32.125698630136981</v>
      </c>
      <c r="U34" s="75">
        <f t="shared" si="9"/>
        <v>15.886075842449195</v>
      </c>
      <c r="V34" s="17">
        <f t="shared" si="10"/>
        <v>15.886075842449195</v>
      </c>
      <c r="W34" s="1"/>
      <c r="X34" s="1"/>
      <c r="Y34" s="1"/>
      <c r="Z34" s="1"/>
      <c r="AA34" s="1"/>
      <c r="AB34" s="1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</row>
    <row r="35" spans="2:143" s="12" customFormat="1" ht="12.75" customHeight="1" x14ac:dyDescent="0.2">
      <c r="B35" s="12">
        <f t="shared" si="20"/>
        <v>15</v>
      </c>
      <c r="C35" s="30">
        <f t="shared" si="21"/>
        <v>45371</v>
      </c>
      <c r="D35" s="32">
        <v>91</v>
      </c>
      <c r="E35" s="30">
        <f t="shared" si="11"/>
        <v>45371</v>
      </c>
      <c r="F35" s="39">
        <f t="shared" si="12"/>
        <v>45371</v>
      </c>
      <c r="G35" s="42">
        <f t="shared" si="13"/>
        <v>45371</v>
      </c>
      <c r="H35" s="43">
        <f t="shared" si="14"/>
        <v>91</v>
      </c>
      <c r="I35" s="43">
        <f t="shared" si="15"/>
        <v>456</v>
      </c>
      <c r="J35" s="79">
        <f t="shared" si="22"/>
        <v>0.76999999999999991</v>
      </c>
      <c r="K35" s="44">
        <f t="shared" si="16"/>
        <v>13.054136986301367</v>
      </c>
      <c r="L35" s="45">
        <v>16</v>
      </c>
      <c r="M35" s="45">
        <f t="shared" si="17"/>
        <v>52</v>
      </c>
      <c r="N35" s="45">
        <f t="shared" si="18"/>
        <v>29.054136986301366</v>
      </c>
      <c r="O35" s="47">
        <f t="shared" si="19"/>
        <v>232433095.89041093</v>
      </c>
      <c r="P35" s="74">
        <f t="shared" si="23"/>
        <v>0.69499999999999995</v>
      </c>
      <c r="Q35" s="1"/>
      <c r="R35" s="16">
        <f t="shared" si="6"/>
        <v>1.2493150684931507</v>
      </c>
      <c r="S35" s="16">
        <f t="shared" si="7"/>
        <v>0.414872396461056</v>
      </c>
      <c r="T35" s="17">
        <f t="shared" si="8"/>
        <v>29.054136986301366</v>
      </c>
      <c r="U35" s="75">
        <f t="shared" si="9"/>
        <v>12.053759438614652</v>
      </c>
      <c r="V35" s="17">
        <f t="shared" si="10"/>
        <v>15.058943298652824</v>
      </c>
      <c r="W35" s="1"/>
      <c r="X35" s="1"/>
      <c r="Y35" s="1"/>
      <c r="Z35" s="1"/>
      <c r="AA35" s="1"/>
      <c r="AB35" s="1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</row>
    <row r="36" spans="2:143" s="12" customFormat="1" ht="12.75" customHeight="1" x14ac:dyDescent="0.2">
      <c r="B36" s="12">
        <f t="shared" si="20"/>
        <v>18</v>
      </c>
      <c r="C36" s="30">
        <f t="shared" si="21"/>
        <v>45463</v>
      </c>
      <c r="D36" s="32">
        <v>92</v>
      </c>
      <c r="E36" s="30">
        <f t="shared" si="11"/>
        <v>45463</v>
      </c>
      <c r="F36" s="39">
        <f t="shared" si="12"/>
        <v>45463</v>
      </c>
      <c r="G36" s="42">
        <f t="shared" si="13"/>
        <v>45463</v>
      </c>
      <c r="H36" s="43">
        <f t="shared" si="14"/>
        <v>92</v>
      </c>
      <c r="I36" s="43">
        <f t="shared" si="15"/>
        <v>548</v>
      </c>
      <c r="J36" s="79">
        <f t="shared" si="22"/>
        <v>0.76999999999999991</v>
      </c>
      <c r="K36" s="44">
        <f t="shared" si="16"/>
        <v>10.092273972602737</v>
      </c>
      <c r="L36" s="45">
        <v>16</v>
      </c>
      <c r="M36" s="45">
        <f t="shared" si="17"/>
        <v>36</v>
      </c>
      <c r="N36" s="45">
        <f t="shared" si="18"/>
        <v>26.092273972602737</v>
      </c>
      <c r="O36" s="47">
        <f t="shared" si="19"/>
        <v>208738191.78082189</v>
      </c>
      <c r="P36" s="74">
        <f t="shared" si="23"/>
        <v>0.69499999999999995</v>
      </c>
      <c r="Q36" s="1"/>
      <c r="R36" s="16">
        <f t="shared" si="6"/>
        <v>1.5013698630136987</v>
      </c>
      <c r="S36" s="16">
        <f t="shared" si="7"/>
        <v>0.34739784704613785</v>
      </c>
      <c r="T36" s="17">
        <f t="shared" si="8"/>
        <v>26.092273972602737</v>
      </c>
      <c r="U36" s="75">
        <f t="shared" si="9"/>
        <v>9.0643998026201693</v>
      </c>
      <c r="V36" s="17">
        <f t="shared" si="10"/>
        <v>13.609016689961241</v>
      </c>
      <c r="W36" s="1"/>
      <c r="X36" s="1"/>
      <c r="Y36" s="1"/>
      <c r="Z36" s="1"/>
      <c r="AA36" s="1"/>
      <c r="AB36" s="1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</row>
    <row r="37" spans="2:143" s="12" customFormat="1" ht="12.75" customHeight="1" x14ac:dyDescent="0.2">
      <c r="B37" s="12">
        <f t="shared" si="20"/>
        <v>21</v>
      </c>
      <c r="C37" s="30">
        <f t="shared" si="21"/>
        <v>45555</v>
      </c>
      <c r="D37" s="32">
        <v>92</v>
      </c>
      <c r="E37" s="30">
        <f t="shared" si="11"/>
        <v>45555</v>
      </c>
      <c r="F37" s="39">
        <f t="shared" si="12"/>
        <v>45555</v>
      </c>
      <c r="G37" s="42">
        <f t="shared" si="13"/>
        <v>45555</v>
      </c>
      <c r="H37" s="43">
        <f t="shared" si="14"/>
        <v>92</v>
      </c>
      <c r="I37" s="43">
        <f t="shared" si="15"/>
        <v>640</v>
      </c>
      <c r="J37" s="79">
        <f t="shared" si="22"/>
        <v>0.76999999999999991</v>
      </c>
      <c r="K37" s="44">
        <f t="shared" si="16"/>
        <v>6.9869589041095868</v>
      </c>
      <c r="L37" s="45">
        <v>16</v>
      </c>
      <c r="M37" s="45">
        <f t="shared" si="17"/>
        <v>20</v>
      </c>
      <c r="N37" s="45">
        <f t="shared" si="18"/>
        <v>22.986958904109585</v>
      </c>
      <c r="O37" s="47">
        <f t="shared" si="19"/>
        <v>183895671.23287666</v>
      </c>
      <c r="P37" s="74">
        <f t="shared" si="23"/>
        <v>0.69499999999999995</v>
      </c>
      <c r="Q37" s="1"/>
      <c r="R37" s="16">
        <f t="shared" si="6"/>
        <v>1.7534246575342465</v>
      </c>
      <c r="S37" s="16">
        <f t="shared" si="7"/>
        <v>0.29089731002052949</v>
      </c>
      <c r="T37" s="17">
        <f t="shared" si="8"/>
        <v>22.986958904109585</v>
      </c>
      <c r="U37" s="75">
        <f t="shared" si="9"/>
        <v>6.6868445107579371</v>
      </c>
      <c r="V37" s="17">
        <f t="shared" si="10"/>
        <v>11.724878046260491</v>
      </c>
      <c r="W37" s="1"/>
      <c r="X37" s="1"/>
      <c r="Y37" s="1"/>
      <c r="Z37" s="1"/>
      <c r="AA37" s="1"/>
      <c r="AB37" s="1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</row>
    <row r="38" spans="2:143" s="12" customFormat="1" ht="12.75" customHeight="1" x14ac:dyDescent="0.2">
      <c r="B38" s="12">
        <f t="shared" si="20"/>
        <v>24</v>
      </c>
      <c r="C38" s="30">
        <f t="shared" si="21"/>
        <v>45646</v>
      </c>
      <c r="D38" s="32">
        <v>91</v>
      </c>
      <c r="E38" s="30">
        <f t="shared" si="11"/>
        <v>45646</v>
      </c>
      <c r="F38" s="39">
        <f t="shared" si="12"/>
        <v>45646</v>
      </c>
      <c r="G38" s="53">
        <f t="shared" si="13"/>
        <v>45646</v>
      </c>
      <c r="H38" s="48">
        <f t="shared" si="14"/>
        <v>91</v>
      </c>
      <c r="I38" s="48">
        <f t="shared" si="15"/>
        <v>731</v>
      </c>
      <c r="J38" s="80">
        <f t="shared" si="22"/>
        <v>0.76999999999999991</v>
      </c>
      <c r="K38" s="54">
        <f t="shared" si="16"/>
        <v>3.8394520547945197</v>
      </c>
      <c r="L38" s="55">
        <v>20</v>
      </c>
      <c r="M38" s="55">
        <f>+M36-L38</f>
        <v>16</v>
      </c>
      <c r="N38" s="55">
        <f t="shared" si="18"/>
        <v>23.839452054794521</v>
      </c>
      <c r="O38" s="56">
        <f t="shared" si="19"/>
        <v>190715616.43835616</v>
      </c>
      <c r="P38" s="76">
        <f t="shared" si="23"/>
        <v>0.69499999999999995</v>
      </c>
      <c r="Q38" s="1"/>
      <c r="R38" s="16">
        <f t="shared" si="6"/>
        <v>2.0027397260273974</v>
      </c>
      <c r="S38" s="16">
        <f t="shared" si="7"/>
        <v>0.24405639649865504</v>
      </c>
      <c r="T38" s="17">
        <f t="shared" si="8"/>
        <v>23.839452054794521</v>
      </c>
      <c r="U38" s="75">
        <f t="shared" si="9"/>
        <v>5.8181707629956083</v>
      </c>
      <c r="V38" s="17">
        <f t="shared" si="10"/>
        <v>11.652281719862438</v>
      </c>
      <c r="W38" s="1"/>
      <c r="X38" s="1"/>
      <c r="Y38" s="1"/>
      <c r="Z38" s="1"/>
      <c r="AA38" s="1"/>
      <c r="AB38" s="1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</row>
    <row r="39" spans="2:143" ht="12.75" customHeight="1" x14ac:dyDescent="0.2">
      <c r="G39" s="40"/>
      <c r="H39" s="13"/>
      <c r="I39" s="15"/>
      <c r="J39" s="41"/>
      <c r="K39" s="14"/>
      <c r="L39" s="38"/>
      <c r="M39" s="15"/>
      <c r="N39" s="15"/>
      <c r="O39" s="37"/>
      <c r="R39" s="1">
        <f t="shared" si="6"/>
        <v>0</v>
      </c>
      <c r="S39" s="1">
        <f t="shared" si="7"/>
        <v>1</v>
      </c>
      <c r="T39" s="1"/>
      <c r="U39" s="1"/>
      <c r="V39" s="1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2:143" x14ac:dyDescent="0.2">
      <c r="G40" s="18"/>
      <c r="H40" s="13"/>
      <c r="I40" s="13"/>
      <c r="J40" s="13"/>
      <c r="K40" s="13"/>
      <c r="L40" s="22">
        <f>SUM(L31:L38)</f>
        <v>100</v>
      </c>
      <c r="M40" s="15"/>
      <c r="N40" s="15"/>
      <c r="O40" s="23">
        <f>SUM(O30:O38)</f>
        <v>863210082.19178057</v>
      </c>
      <c r="R40" s="19"/>
      <c r="S40" s="19"/>
      <c r="T40" s="17"/>
      <c r="U40" s="17">
        <f>SUM(U31:U38)</f>
        <v>99.999999462465226</v>
      </c>
      <c r="V40" s="17">
        <f>SUM(V31:V38)</f>
        <v>94.344973776980822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2:143" x14ac:dyDescent="0.2"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2:143" x14ac:dyDescent="0.2">
      <c r="R42" s="1"/>
      <c r="S42" s="1"/>
      <c r="T42" s="1"/>
      <c r="U42" s="1"/>
      <c r="V42" s="1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2:143" x14ac:dyDescent="0.2">
      <c r="R43" s="1"/>
      <c r="S43" s="1"/>
      <c r="T43" s="1"/>
      <c r="U43" s="1"/>
      <c r="V43" s="1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2:143" x14ac:dyDescent="0.2">
      <c r="R44" s="1"/>
      <c r="S44" s="1"/>
      <c r="T44" s="1"/>
      <c r="U44" s="1"/>
      <c r="V44" s="1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2:143" x14ac:dyDescent="0.2">
      <c r="R45" s="1"/>
      <c r="S45" s="1"/>
      <c r="T45" s="1"/>
      <c r="U45" s="1"/>
      <c r="V45" s="1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2:143" ht="9.75" customHeight="1" x14ac:dyDescent="0.2">
      <c r="R46" s="1"/>
      <c r="S46" s="1"/>
      <c r="T46" s="1"/>
      <c r="U46" s="1"/>
      <c r="V46" s="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2:143" x14ac:dyDescent="0.2"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2:143" x14ac:dyDescent="0.2"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x14ac:dyDescent="0.2"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hidden="1" x14ac:dyDescent="0.2"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H51" s="57"/>
      <c r="I51" s="57" t="s">
        <v>23</v>
      </c>
      <c r="J51" s="57"/>
      <c r="K51" s="57" t="s">
        <v>24</v>
      </c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>
        <v>1</v>
      </c>
      <c r="I52" s="57"/>
      <c r="J52" s="57"/>
      <c r="K52" s="57"/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2</v>
      </c>
      <c r="I53" s="57"/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3</v>
      </c>
      <c r="I54" s="57">
        <v>1</v>
      </c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4</v>
      </c>
      <c r="I55" s="57"/>
      <c r="J55" s="57"/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5</v>
      </c>
      <c r="I56" s="57"/>
      <c r="J56" s="57"/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6</v>
      </c>
      <c r="I57" s="57">
        <v>2</v>
      </c>
      <c r="J57" s="57">
        <v>1</v>
      </c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7</v>
      </c>
      <c r="I58" s="57"/>
      <c r="J58" s="57"/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8</v>
      </c>
      <c r="I59" s="57"/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9</v>
      </c>
      <c r="I60" s="57">
        <v>3</v>
      </c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10</v>
      </c>
      <c r="I61" s="57"/>
      <c r="J61" s="57"/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11</v>
      </c>
      <c r="I62" s="57"/>
      <c r="J62" s="57"/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12</v>
      </c>
      <c r="I63" s="57">
        <v>4</v>
      </c>
      <c r="J63" s="57">
        <v>2</v>
      </c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13</v>
      </c>
      <c r="I64" s="57"/>
      <c r="J64" s="57"/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14</v>
      </c>
      <c r="I65" s="57"/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15</v>
      </c>
      <c r="I66" s="57">
        <v>5</v>
      </c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16</v>
      </c>
      <c r="I67" s="57"/>
      <c r="J67" s="57"/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17</v>
      </c>
      <c r="I68" s="57"/>
      <c r="J68" s="57"/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18</v>
      </c>
      <c r="I69" s="57">
        <v>6</v>
      </c>
      <c r="J69" s="57">
        <v>3</v>
      </c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19</v>
      </c>
      <c r="I70" s="57"/>
      <c r="J70" s="57"/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20</v>
      </c>
      <c r="I71" s="57"/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21</v>
      </c>
      <c r="I72" s="57">
        <v>7</v>
      </c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22</v>
      </c>
      <c r="I73" s="57"/>
      <c r="J73" s="57"/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23</v>
      </c>
      <c r="I74" s="57"/>
      <c r="J74" s="57"/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24</v>
      </c>
      <c r="I75" s="57">
        <v>8</v>
      </c>
      <c r="J75" s="57">
        <v>4</v>
      </c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25</v>
      </c>
      <c r="I76" s="57"/>
      <c r="J76" s="57"/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26</v>
      </c>
      <c r="I77" s="57"/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27</v>
      </c>
      <c r="I78" s="57">
        <v>9</v>
      </c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28</v>
      </c>
      <c r="I79" s="57"/>
      <c r="J79" s="57"/>
      <c r="K79" s="57"/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29</v>
      </c>
      <c r="I80" s="57"/>
      <c r="J80" s="57"/>
      <c r="K80" s="57"/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30</v>
      </c>
      <c r="I81" s="57">
        <v>10</v>
      </c>
      <c r="J81" s="57">
        <v>5</v>
      </c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31</v>
      </c>
      <c r="I82" s="57"/>
      <c r="J82" s="57"/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32</v>
      </c>
      <c r="I83" s="57"/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33</v>
      </c>
      <c r="I84" s="57">
        <v>11</v>
      </c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34</v>
      </c>
      <c r="I85" s="57"/>
      <c r="J85" s="57"/>
      <c r="K85" s="57"/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35</v>
      </c>
      <c r="I86" s="57"/>
      <c r="J86" s="57"/>
      <c r="K86" s="57"/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36</v>
      </c>
      <c r="I87" s="57">
        <v>12</v>
      </c>
      <c r="J87" s="57">
        <v>6</v>
      </c>
      <c r="K87" s="57">
        <v>1</v>
      </c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37</v>
      </c>
      <c r="I88" s="57"/>
      <c r="J88" s="57"/>
      <c r="K88" s="57"/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38</v>
      </c>
      <c r="I89" s="57"/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39</v>
      </c>
      <c r="I90" s="57">
        <v>13</v>
      </c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40</v>
      </c>
      <c r="I91" s="57"/>
      <c r="J91" s="57"/>
      <c r="K91" s="57"/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41</v>
      </c>
      <c r="I92" s="57"/>
      <c r="J92" s="57"/>
      <c r="K92" s="57"/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42</v>
      </c>
      <c r="I93" s="57">
        <v>14</v>
      </c>
      <c r="J93" s="57">
        <v>7</v>
      </c>
      <c r="K93" s="57">
        <v>2</v>
      </c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43</v>
      </c>
      <c r="I94" s="57"/>
      <c r="J94" s="57"/>
      <c r="K94" s="57"/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44</v>
      </c>
      <c r="I95" s="57"/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45</v>
      </c>
      <c r="I96" s="57">
        <v>15</v>
      </c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46</v>
      </c>
      <c r="I97" s="57"/>
      <c r="J97" s="57"/>
      <c r="K97" s="57"/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47</v>
      </c>
      <c r="I98" s="57"/>
      <c r="J98" s="57"/>
      <c r="K98" s="57"/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48</v>
      </c>
      <c r="I99" s="57">
        <v>16</v>
      </c>
      <c r="J99" s="57">
        <v>8</v>
      </c>
      <c r="K99" s="57">
        <v>3</v>
      </c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49</v>
      </c>
      <c r="I100" s="57"/>
      <c r="J100" s="57"/>
      <c r="K100" s="57"/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50</v>
      </c>
      <c r="I101" s="57"/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51</v>
      </c>
      <c r="I102" s="57">
        <v>17</v>
      </c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52</v>
      </c>
      <c r="I103" s="57"/>
      <c r="J103" s="57"/>
      <c r="K103" s="57"/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H104" s="57">
        <v>53</v>
      </c>
      <c r="I104" s="57"/>
      <c r="J104" s="57"/>
      <c r="K104" s="57"/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hidden="1" x14ac:dyDescent="0.2">
      <c r="H105" s="57">
        <v>54</v>
      </c>
      <c r="I105" s="57">
        <v>18</v>
      </c>
      <c r="J105" s="57">
        <v>9</v>
      </c>
      <c r="K105" s="57">
        <v>4</v>
      </c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hidden="1" x14ac:dyDescent="0.2">
      <c r="H106" s="57">
        <v>55</v>
      </c>
      <c r="I106" s="57"/>
      <c r="J106" s="57"/>
      <c r="K106" s="57"/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hidden="1" x14ac:dyDescent="0.2">
      <c r="H107" s="57">
        <v>56</v>
      </c>
      <c r="I107" s="57"/>
      <c r="J107" s="57"/>
      <c r="K107" s="57"/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hidden="1" x14ac:dyDescent="0.2">
      <c r="H108" s="57">
        <v>57</v>
      </c>
      <c r="I108" s="57">
        <v>19</v>
      </c>
      <c r="J108" s="57"/>
      <c r="K108" s="57"/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hidden="1" x14ac:dyDescent="0.2">
      <c r="H109" s="57">
        <v>58</v>
      </c>
      <c r="I109" s="57"/>
      <c r="J109" s="57"/>
      <c r="K109" s="57"/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hidden="1" x14ac:dyDescent="0.2">
      <c r="H110" s="57">
        <v>59</v>
      </c>
      <c r="I110" s="57"/>
      <c r="J110" s="57"/>
      <c r="K110" s="57"/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hidden="1" x14ac:dyDescent="0.2">
      <c r="H111" s="57">
        <v>60</v>
      </c>
      <c r="I111" s="57">
        <v>20</v>
      </c>
      <c r="J111" s="57">
        <v>10</v>
      </c>
      <c r="K111" s="57">
        <v>5</v>
      </c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hidden="1" x14ac:dyDescent="0.2"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R267" s="1"/>
      <c r="S267" s="1"/>
      <c r="T267" s="1"/>
      <c r="U267" s="1"/>
      <c r="V267" s="1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R268" s="1"/>
      <c r="S268" s="1"/>
      <c r="T268" s="1"/>
      <c r="U268" s="1"/>
      <c r="V268" s="1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R269" s="1"/>
      <c r="S269" s="1"/>
      <c r="T269" s="1"/>
      <c r="U269" s="1"/>
      <c r="V269" s="1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  <row r="270" spans="18:143" x14ac:dyDescent="0.2">
      <c r="R270" s="1"/>
      <c r="S270" s="1"/>
      <c r="T270" s="1"/>
      <c r="U270" s="1"/>
      <c r="V270" s="1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</row>
    <row r="271" spans="18:143" x14ac:dyDescent="0.2">
      <c r="R271" s="1"/>
      <c r="S271" s="1"/>
      <c r="T271" s="1"/>
      <c r="U271" s="1"/>
      <c r="V271" s="1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</row>
    <row r="272" spans="18:143" x14ac:dyDescent="0.2">
      <c r="R272" s="1"/>
      <c r="S272" s="1"/>
      <c r="T272" s="1"/>
      <c r="U272" s="1"/>
      <c r="V272" s="1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</row>
    <row r="273" spans="18:143" x14ac:dyDescent="0.2">
      <c r="R273" s="1"/>
      <c r="S273" s="1"/>
      <c r="T273" s="1"/>
      <c r="U273" s="1"/>
      <c r="V273" s="1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</row>
    <row r="274" spans="18:143" x14ac:dyDescent="0.2">
      <c r="R274" s="1"/>
      <c r="S274" s="1"/>
      <c r="T274" s="1"/>
      <c r="U274" s="1"/>
      <c r="V274" s="1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</row>
    <row r="275" spans="18:143" x14ac:dyDescent="0.2"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</row>
    <row r="276" spans="18:143" x14ac:dyDescent="0.2"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</row>
    <row r="277" spans="18:143" x14ac:dyDescent="0.2"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4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8"/>
  <sheetViews>
    <sheetView showGridLines="0" zoomScale="85" zoomScaleNormal="85" zoomScaleSheetLayoutView="130" workbookViewId="0">
      <selection activeCell="AB5" sqref="AB5"/>
    </sheetView>
  </sheetViews>
  <sheetFormatPr baseColWidth="10" defaultColWidth="11.42578125" defaultRowHeight="11.25" x14ac:dyDescent="0.2"/>
  <cols>
    <col min="1" max="1" width="11.42578125" style="1"/>
    <col min="2" max="2" width="11.85546875" style="1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3.7109375" style="1" bestFit="1" customWidth="1"/>
    <col min="13" max="13" width="15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4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4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4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4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4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4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4:143" ht="15.75" x14ac:dyDescent="0.25">
      <c r="G8" s="148" t="s">
        <v>60</v>
      </c>
      <c r="H8" s="149"/>
      <c r="I8" s="149"/>
      <c r="J8" s="149"/>
      <c r="K8" s="149"/>
      <c r="L8" s="149"/>
      <c r="M8" s="149"/>
      <c r="N8" s="149"/>
      <c r="O8" s="149"/>
      <c r="P8" s="150"/>
      <c r="Q8" s="15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4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4:143" ht="12.75" customHeight="1" x14ac:dyDescent="0.2">
      <c r="G10" s="95" t="s">
        <v>0</v>
      </c>
      <c r="H10" s="152">
        <v>44915</v>
      </c>
      <c r="I10" s="153"/>
      <c r="J10" s="155" t="s">
        <v>1</v>
      </c>
      <c r="K10" s="155"/>
      <c r="L10" s="156">
        <f>XIRR(O31:O39,E31:E39)</f>
        <v>1.048031461238861</v>
      </c>
      <c r="M10" s="157"/>
      <c r="N10" s="155" t="s">
        <v>27</v>
      </c>
      <c r="O10" s="155"/>
      <c r="P10" s="156" t="s">
        <v>36</v>
      </c>
      <c r="Q10" s="157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4:143" ht="12.75" customHeight="1" x14ac:dyDescent="0.2">
      <c r="G11" s="88" t="s">
        <v>2</v>
      </c>
      <c r="H11" s="165">
        <f>+G39</f>
        <v>45646</v>
      </c>
      <c r="I11" s="166"/>
      <c r="J11" s="160" t="s">
        <v>18</v>
      </c>
      <c r="K11" s="160"/>
      <c r="L11" s="163">
        <f>+(((1+L10)^(90/365))-1)*(365/90)</f>
        <v>0.78414274986794119</v>
      </c>
      <c r="M11" s="164"/>
      <c r="N11" s="160" t="s">
        <v>30</v>
      </c>
      <c r="O11" s="160"/>
      <c r="P11" s="167" t="s">
        <v>34</v>
      </c>
      <c r="Q11" s="168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4:143" ht="12.75" customHeight="1" x14ac:dyDescent="0.2">
      <c r="D12" s="34"/>
      <c r="G12" s="88" t="s">
        <v>28</v>
      </c>
      <c r="H12" s="163" t="s">
        <v>40</v>
      </c>
      <c r="I12" s="164"/>
      <c r="J12" s="160" t="s">
        <v>29</v>
      </c>
      <c r="K12" s="160"/>
      <c r="L12" s="161">
        <f>+(V41/U41)*12</f>
        <v>11.281714270169921</v>
      </c>
      <c r="M12" s="162"/>
      <c r="N12" s="160" t="s">
        <v>37</v>
      </c>
      <c r="O12" s="160"/>
      <c r="P12" s="163">
        <v>1</v>
      </c>
      <c r="Q12" s="164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4:143" ht="12.75" customHeight="1" x14ac:dyDescent="0.2">
      <c r="G13" s="88"/>
      <c r="H13" s="177"/>
      <c r="I13" s="178"/>
      <c r="J13" s="160" t="s">
        <v>25</v>
      </c>
      <c r="K13" s="160"/>
      <c r="L13" s="161" t="s">
        <v>42</v>
      </c>
      <c r="M13" s="162"/>
      <c r="N13" s="160" t="s">
        <v>56</v>
      </c>
      <c r="O13" s="160"/>
      <c r="P13" s="192">
        <v>100000000</v>
      </c>
      <c r="Q13" s="193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4:143" ht="12.75" customHeight="1" x14ac:dyDescent="0.2">
      <c r="G14" s="88" t="s">
        <v>3</v>
      </c>
      <c r="H14" s="194">
        <f>+$H$10</f>
        <v>44915</v>
      </c>
      <c r="I14" s="195"/>
      <c r="J14" s="160" t="s">
        <v>26</v>
      </c>
      <c r="K14" s="160"/>
      <c r="L14" s="196">
        <v>24</v>
      </c>
      <c r="M14" s="197"/>
      <c r="N14" s="160" t="s">
        <v>35</v>
      </c>
      <c r="O14" s="160"/>
      <c r="P14" s="198">
        <v>7.4999999999999997E-2</v>
      </c>
      <c r="Q14" s="199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4:143" ht="12.75" customHeight="1" x14ac:dyDescent="0.2">
      <c r="G15" s="91"/>
      <c r="H15" s="89"/>
      <c r="I15" s="90"/>
      <c r="J15" s="92"/>
      <c r="K15" s="92"/>
      <c r="L15" s="93"/>
      <c r="M15" s="94"/>
      <c r="N15" s="200" t="s">
        <v>57</v>
      </c>
      <c r="O15" s="184"/>
      <c r="P15" s="201">
        <f>P13*'RdC ON X Clase XXI'!C14</f>
        <v>59921013.429301128</v>
      </c>
      <c r="Q15" s="202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4:143" x14ac:dyDescent="0.2">
      <c r="H16" s="105"/>
      <c r="I16" s="6"/>
      <c r="J16" s="6"/>
      <c r="M16" s="7"/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x14ac:dyDescent="0.2">
      <c r="I17" s="67" t="s">
        <v>38</v>
      </c>
      <c r="J17" s="67" t="s">
        <v>10</v>
      </c>
      <c r="K17" s="68" t="s">
        <v>16</v>
      </c>
      <c r="L17" s="77" t="s">
        <v>11</v>
      </c>
      <c r="M17" s="69" t="s">
        <v>12</v>
      </c>
      <c r="N17" s="8"/>
      <c r="S17" s="29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2.75" customHeight="1" x14ac:dyDescent="0.2">
      <c r="I18" s="81">
        <f>DATEDIF($C$31,J18,"m")</f>
        <v>3</v>
      </c>
      <c r="J18" s="70">
        <f>+G32</f>
        <v>45005</v>
      </c>
      <c r="K18" s="64">
        <f>+$P$15*L32/100</f>
        <v>0</v>
      </c>
      <c r="L18" s="63">
        <f>+$P$15*K32/100</f>
        <v>11376784.193563199</v>
      </c>
      <c r="M18" s="21">
        <f>SUM(K18:L18)</f>
        <v>11376784.193563199</v>
      </c>
      <c r="N18" s="8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2.75" customHeight="1" x14ac:dyDescent="0.2">
      <c r="I19" s="81">
        <f t="shared" ref="I19:I25" si="0">DATEDIF($C$31,J19,"m")</f>
        <v>6</v>
      </c>
      <c r="J19" s="70">
        <f t="shared" ref="J19:J24" si="1">+G33</f>
        <v>45097</v>
      </c>
      <c r="K19" s="64">
        <f t="shared" ref="K19:K25" si="2">+$P$15*L33/100</f>
        <v>0</v>
      </c>
      <c r="L19" s="63">
        <f t="shared" ref="L19:L25" si="3">+$P$15*K33/100</f>
        <v>11629601.620086825</v>
      </c>
      <c r="M19" s="21">
        <f t="shared" ref="M19:M25" si="4">SUM(K19:L19)</f>
        <v>11629601.620086825</v>
      </c>
      <c r="N19" s="8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2.75" customHeight="1" x14ac:dyDescent="0.2">
      <c r="I20" s="81">
        <f t="shared" si="0"/>
        <v>9</v>
      </c>
      <c r="J20" s="70">
        <f t="shared" si="1"/>
        <v>45189</v>
      </c>
      <c r="K20" s="64">
        <f t="shared" si="2"/>
        <v>9587362.1486881804</v>
      </c>
      <c r="L20" s="63">
        <f t="shared" si="3"/>
        <v>11629601.620086825</v>
      </c>
      <c r="M20" s="21">
        <f>SUM(K20:L20)</f>
        <v>21216963.768775005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2.75" customHeight="1" x14ac:dyDescent="0.2">
      <c r="I21" s="81">
        <f t="shared" si="0"/>
        <v>12</v>
      </c>
      <c r="J21" s="70">
        <f t="shared" si="1"/>
        <v>45280</v>
      </c>
      <c r="K21" s="64">
        <f t="shared" si="2"/>
        <v>9587362.1486881804</v>
      </c>
      <c r="L21" s="63">
        <f t="shared" si="3"/>
        <v>9662682.0417330097</v>
      </c>
      <c r="M21" s="21">
        <f t="shared" si="4"/>
        <v>19250044.19042119</v>
      </c>
      <c r="N21" s="8"/>
      <c r="P21" s="31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ht="12.75" customHeight="1" x14ac:dyDescent="0.2">
      <c r="I22" s="81">
        <f t="shared" si="0"/>
        <v>15</v>
      </c>
      <c r="J22" s="70">
        <f t="shared" si="1"/>
        <v>45371</v>
      </c>
      <c r="K22" s="64">
        <f t="shared" si="2"/>
        <v>9587362.1486881804</v>
      </c>
      <c r="L22" s="63">
        <f t="shared" si="3"/>
        <v>7822171.1766410079</v>
      </c>
      <c r="M22" s="21">
        <f t="shared" si="4"/>
        <v>17409533.325329188</v>
      </c>
      <c r="N22" s="8"/>
      <c r="P22" s="31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12.75" customHeight="1" x14ac:dyDescent="0.2">
      <c r="I23" s="81">
        <f t="shared" si="0"/>
        <v>18</v>
      </c>
      <c r="J23" s="70">
        <f t="shared" si="1"/>
        <v>45463</v>
      </c>
      <c r="K23" s="64">
        <f t="shared" si="2"/>
        <v>9587362.1486881804</v>
      </c>
      <c r="L23" s="63">
        <f>+$P$15*K37/100</f>
        <v>6047392.8424451482</v>
      </c>
      <c r="M23" s="21">
        <f t="shared" si="4"/>
        <v>15634754.991133329</v>
      </c>
      <c r="N23" s="8"/>
      <c r="P23" s="3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ht="12.75" customHeight="1" x14ac:dyDescent="0.2">
      <c r="I24" s="81">
        <f t="shared" si="0"/>
        <v>21</v>
      </c>
      <c r="J24" s="70">
        <f t="shared" si="1"/>
        <v>45555</v>
      </c>
      <c r="K24" s="64">
        <f t="shared" si="2"/>
        <v>9587362.1486881804</v>
      </c>
      <c r="L24" s="63">
        <f t="shared" si="3"/>
        <v>4186656.5832312568</v>
      </c>
      <c r="M24" s="21">
        <f t="shared" si="4"/>
        <v>13774018.731919438</v>
      </c>
      <c r="N24" s="8"/>
      <c r="P24" s="31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ht="12.75" customHeight="1" x14ac:dyDescent="0.2">
      <c r="I25" s="82">
        <f t="shared" si="0"/>
        <v>24</v>
      </c>
      <c r="J25" s="70">
        <f>+G39</f>
        <v>45646</v>
      </c>
      <c r="K25" s="64">
        <f t="shared" si="2"/>
        <v>11984202.685860226</v>
      </c>
      <c r="L25" s="63">
        <f t="shared" si="3"/>
        <v>2300638.5813650023</v>
      </c>
      <c r="M25" s="21">
        <f t="shared" si="4"/>
        <v>14284841.267225228</v>
      </c>
      <c r="N25" s="8"/>
      <c r="P25" s="31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ht="12.75" customHeight="1" x14ac:dyDescent="0.2">
      <c r="J26" s="71" t="s">
        <v>12</v>
      </c>
      <c r="K26" s="72">
        <f>SUM(K18:K25)</f>
        <v>59921013.429301128</v>
      </c>
      <c r="L26" s="78">
        <f>SUM(L18:L25)</f>
        <v>64655528.659152277</v>
      </c>
      <c r="M26" s="73">
        <f>SUM(K26:L26)</f>
        <v>124576542.08845341</v>
      </c>
      <c r="N26" s="8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pans="2:143" x14ac:dyDescent="0.2">
      <c r="H27" s="46"/>
      <c r="I27" s="6"/>
      <c r="J27" s="6"/>
      <c r="M27" s="7"/>
      <c r="N27" s="8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spans="2:143" ht="14.25" customHeight="1" x14ac:dyDescent="0.2">
      <c r="G28" s="187" t="s">
        <v>17</v>
      </c>
      <c r="H28" s="189" t="s">
        <v>31</v>
      </c>
      <c r="I28" s="189" t="s">
        <v>13</v>
      </c>
      <c r="J28" s="189" t="s">
        <v>21</v>
      </c>
      <c r="K28" s="181" t="s">
        <v>20</v>
      </c>
      <c r="L28" s="181" t="s">
        <v>4</v>
      </c>
      <c r="M28" s="181" t="s">
        <v>14</v>
      </c>
      <c r="N28" s="183" t="s">
        <v>5</v>
      </c>
      <c r="O28" s="185" t="s">
        <v>15</v>
      </c>
      <c r="P28" s="185" t="s">
        <v>33</v>
      </c>
      <c r="R28" s="9" t="s">
        <v>19</v>
      </c>
      <c r="S28" s="9" t="s">
        <v>6</v>
      </c>
      <c r="T28" s="9" t="s">
        <v>7</v>
      </c>
      <c r="U28" s="9" t="s">
        <v>8</v>
      </c>
      <c r="V28" s="9" t="s">
        <v>9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spans="2:143" x14ac:dyDescent="0.2">
      <c r="G29" s="188"/>
      <c r="H29" s="190"/>
      <c r="I29" s="190"/>
      <c r="J29" s="190"/>
      <c r="K29" s="182"/>
      <c r="L29" s="182"/>
      <c r="M29" s="182"/>
      <c r="N29" s="184"/>
      <c r="O29" s="186"/>
      <c r="P29" s="186"/>
      <c r="R29" s="10"/>
      <c r="S29" s="11">
        <f>+L10</f>
        <v>1.048031461238861</v>
      </c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spans="2:143" x14ac:dyDescent="0.2">
      <c r="C30" s="1" t="s">
        <v>22</v>
      </c>
      <c r="G30" s="65"/>
      <c r="H30" s="49"/>
      <c r="I30" s="49"/>
      <c r="J30" s="20">
        <f>+J31</f>
        <v>7.4999999999999997E-2</v>
      </c>
      <c r="K30" s="50"/>
      <c r="L30" s="50"/>
      <c r="M30" s="51">
        <f>+M31</f>
        <v>100</v>
      </c>
      <c r="N30" s="52"/>
      <c r="O30" s="66"/>
      <c r="R30" s="10"/>
      <c r="S30" s="11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</row>
    <row r="31" spans="2:143" s="12" customFormat="1" ht="12.75" customHeight="1" x14ac:dyDescent="0.2">
      <c r="C31" s="30">
        <v>44915</v>
      </c>
      <c r="D31" s="32"/>
      <c r="E31" s="30">
        <f>+H14</f>
        <v>44915</v>
      </c>
      <c r="F31" s="39">
        <f>+H10</f>
        <v>44915</v>
      </c>
      <c r="G31" s="58">
        <f>+F31</f>
        <v>44915</v>
      </c>
      <c r="H31" s="59"/>
      <c r="I31" s="59"/>
      <c r="J31" s="60">
        <f t="shared" ref="J31" si="5">+$P$14</f>
        <v>7.4999999999999997E-2</v>
      </c>
      <c r="K31" s="59"/>
      <c r="L31" s="59"/>
      <c r="M31" s="61">
        <v>100</v>
      </c>
      <c r="N31" s="61">
        <f>-P12*100</f>
        <v>-100</v>
      </c>
      <c r="O31" s="62">
        <f>(P13*'RdC ON X Clase XXI'!C12)*-1</f>
        <v>-59210487.578360803</v>
      </c>
      <c r="P31" s="62"/>
      <c r="Q31" s="1"/>
      <c r="R31" s="16">
        <f t="shared" ref="R31:R40" si="6">I31/365</f>
        <v>0</v>
      </c>
      <c r="S31" s="16">
        <f t="shared" ref="S31:S40" si="7">1/(1+$L$10)^(I31/365)</f>
        <v>1</v>
      </c>
      <c r="T31" s="17">
        <f t="shared" ref="T31:T39" si="8">+N31</f>
        <v>-100</v>
      </c>
      <c r="U31" s="17">
        <f t="shared" ref="U31:U39" si="9">+T31*S31</f>
        <v>-100</v>
      </c>
      <c r="V31" s="17">
        <f t="shared" ref="V31:V39" si="10">+U31*R31</f>
        <v>0</v>
      </c>
      <c r="W31" s="1"/>
      <c r="X31" s="1"/>
      <c r="Y31" s="1"/>
      <c r="Z31" s="1"/>
      <c r="AA31" s="1"/>
      <c r="AB31" s="1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</row>
    <row r="32" spans="2:143" s="12" customFormat="1" ht="12.75" customHeight="1" x14ac:dyDescent="0.2">
      <c r="B32" s="12">
        <f>DATEDIF($C$31,C32,"m")</f>
        <v>3</v>
      </c>
      <c r="C32" s="30">
        <f>IF(C31&gt;0,D32+C31,0)</f>
        <v>45005</v>
      </c>
      <c r="D32" s="32">
        <v>90</v>
      </c>
      <c r="E32" s="30">
        <f t="shared" ref="E32:E39" si="11">+G32</f>
        <v>45005</v>
      </c>
      <c r="F32" s="39">
        <f>+F31+D32</f>
        <v>45005</v>
      </c>
      <c r="G32" s="42">
        <f t="shared" ref="G32:G39" si="12">+F32</f>
        <v>45005</v>
      </c>
      <c r="H32" s="43">
        <f t="shared" ref="H32:H39" si="13">+F32-F31</f>
        <v>90</v>
      </c>
      <c r="I32" s="43">
        <f t="shared" ref="I32:I39" si="14">+IF(G32-$H$14&lt;0,0,G32-$H$14)</f>
        <v>90</v>
      </c>
      <c r="J32" s="79">
        <f>+$P$14+P32</f>
        <v>0.76999999999999991</v>
      </c>
      <c r="K32" s="44">
        <f t="shared" ref="K32:K39" si="15">+J32/365*H32*M31</f>
        <v>18.986301369863011</v>
      </c>
      <c r="L32" s="45">
        <v>0</v>
      </c>
      <c r="M32" s="45">
        <f t="shared" ref="M32:M38" si="16">+M31-L32</f>
        <v>100</v>
      </c>
      <c r="N32" s="45">
        <f t="shared" ref="N32:N39" si="17">+IF(G32&gt;$H$14,K32+L32,0)</f>
        <v>18.986301369863011</v>
      </c>
      <c r="O32" s="47">
        <f>+N32*$P$15/100</f>
        <v>11376784.193563199</v>
      </c>
      <c r="P32" s="74">
        <v>0.69499999999999995</v>
      </c>
      <c r="Q32" s="1"/>
      <c r="R32" s="16">
        <f t="shared" si="6"/>
        <v>0.24657534246575341</v>
      </c>
      <c r="S32" s="16">
        <f>1/(1+$L$10)^(I32/365)</f>
        <v>0.83797693567195919</v>
      </c>
      <c r="T32" s="17">
        <f t="shared" si="8"/>
        <v>18.986301369863011</v>
      </c>
      <c r="U32" s="75">
        <f>+T32*S32</f>
        <v>15.910082641662127</v>
      </c>
      <c r="V32" s="17">
        <f t="shared" si="10"/>
        <v>3.9230340760262776</v>
      </c>
      <c r="W32" s="1"/>
      <c r="X32" s="1"/>
      <c r="Y32" s="1"/>
      <c r="Z32" s="1"/>
      <c r="AA32" s="1"/>
      <c r="AB32" s="1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</row>
    <row r="33" spans="2:143" s="12" customFormat="1" ht="12.75" customHeight="1" x14ac:dyDescent="0.2">
      <c r="B33" s="12">
        <f t="shared" ref="B33:B39" si="18">DATEDIF($C$31,C33,"m")</f>
        <v>6</v>
      </c>
      <c r="C33" s="30">
        <f t="shared" ref="C33:C39" si="19">IF(C32&gt;0,D33+C32,0)</f>
        <v>45097</v>
      </c>
      <c r="D33" s="32">
        <v>92</v>
      </c>
      <c r="E33" s="30">
        <f t="shared" si="11"/>
        <v>45097</v>
      </c>
      <c r="F33" s="39">
        <f t="shared" ref="F33:F39" si="20">+F32+D33</f>
        <v>45097</v>
      </c>
      <c r="G33" s="42">
        <f t="shared" si="12"/>
        <v>45097</v>
      </c>
      <c r="H33" s="43">
        <f t="shared" si="13"/>
        <v>92</v>
      </c>
      <c r="I33" s="43">
        <f t="shared" si="14"/>
        <v>182</v>
      </c>
      <c r="J33" s="79">
        <f>+$P$14+P33</f>
        <v>0.76999999999999991</v>
      </c>
      <c r="K33" s="44">
        <f t="shared" si="15"/>
        <v>19.408219178082188</v>
      </c>
      <c r="L33" s="45">
        <v>0</v>
      </c>
      <c r="M33" s="45">
        <f t="shared" si="16"/>
        <v>100</v>
      </c>
      <c r="N33" s="45">
        <f t="shared" si="17"/>
        <v>19.408219178082188</v>
      </c>
      <c r="O33" s="47">
        <f>+N33*$P$15/100</f>
        <v>11629601.620086825</v>
      </c>
      <c r="P33" s="74">
        <f>+$P$32</f>
        <v>0.69499999999999995</v>
      </c>
      <c r="Q33" s="1"/>
      <c r="R33" s="16">
        <f t="shared" si="6"/>
        <v>0.49863013698630138</v>
      </c>
      <c r="S33" s="16">
        <f t="shared" si="7"/>
        <v>0.69945241918172296</v>
      </c>
      <c r="T33" s="17">
        <f t="shared" si="8"/>
        <v>19.408219178082188</v>
      </c>
      <c r="U33" s="75">
        <f t="shared" si="9"/>
        <v>13.575125856118698</v>
      </c>
      <c r="V33" s="17">
        <f t="shared" si="10"/>
        <v>6.7689668652427475</v>
      </c>
      <c r="W33" s="1"/>
      <c r="X33" s="1"/>
      <c r="Y33" s="1"/>
      <c r="Z33" s="1"/>
      <c r="AA33" s="1"/>
      <c r="AB33" s="1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</row>
    <row r="34" spans="2:143" s="12" customFormat="1" ht="12.75" customHeight="1" x14ac:dyDescent="0.2">
      <c r="B34" s="12">
        <f t="shared" si="18"/>
        <v>9</v>
      </c>
      <c r="C34" s="30">
        <f t="shared" si="19"/>
        <v>45189</v>
      </c>
      <c r="D34" s="32">
        <v>92</v>
      </c>
      <c r="E34" s="30">
        <f t="shared" si="11"/>
        <v>45189</v>
      </c>
      <c r="F34" s="39">
        <f t="shared" si="20"/>
        <v>45189</v>
      </c>
      <c r="G34" s="42">
        <f t="shared" si="12"/>
        <v>45189</v>
      </c>
      <c r="H34" s="43">
        <f t="shared" si="13"/>
        <v>92</v>
      </c>
      <c r="I34" s="43">
        <f t="shared" si="14"/>
        <v>274</v>
      </c>
      <c r="J34" s="79">
        <f t="shared" ref="J34:J39" si="21">+$P$14+P34</f>
        <v>0.76999999999999991</v>
      </c>
      <c r="K34" s="44">
        <f t="shared" si="15"/>
        <v>19.408219178082188</v>
      </c>
      <c r="L34" s="45">
        <v>16</v>
      </c>
      <c r="M34" s="45">
        <f t="shared" si="16"/>
        <v>84</v>
      </c>
      <c r="N34" s="45">
        <f t="shared" si="17"/>
        <v>35.408219178082192</v>
      </c>
      <c r="O34" s="47">
        <f>+N34*$P$15/100</f>
        <v>21216963.768775009</v>
      </c>
      <c r="P34" s="74">
        <f t="shared" ref="P34:P39" si="22">+$P$32</f>
        <v>0.69499999999999995</v>
      </c>
      <c r="Q34" s="1"/>
      <c r="R34" s="16">
        <f t="shared" si="6"/>
        <v>0.75068493150684934</v>
      </c>
      <c r="S34" s="16">
        <f t="shared" si="7"/>
        <v>0.58382715069222824</v>
      </c>
      <c r="T34" s="17">
        <f t="shared" si="8"/>
        <v>35.408219178082192</v>
      </c>
      <c r="U34" s="75">
        <f t="shared" si="9"/>
        <v>20.672279713825638</v>
      </c>
      <c r="V34" s="17">
        <f t="shared" si="10"/>
        <v>15.51836888106363</v>
      </c>
      <c r="W34" s="1"/>
      <c r="X34" s="1"/>
      <c r="Y34" s="1"/>
      <c r="Z34" s="1"/>
      <c r="AA34" s="1"/>
      <c r="AB34" s="1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</row>
    <row r="35" spans="2:143" s="12" customFormat="1" ht="12.75" customHeight="1" x14ac:dyDescent="0.2">
      <c r="B35" s="12">
        <f t="shared" si="18"/>
        <v>12</v>
      </c>
      <c r="C35" s="30">
        <f t="shared" si="19"/>
        <v>45280</v>
      </c>
      <c r="D35" s="32">
        <v>91</v>
      </c>
      <c r="E35" s="30">
        <f t="shared" si="11"/>
        <v>45280</v>
      </c>
      <c r="F35" s="39">
        <f t="shared" si="20"/>
        <v>45280</v>
      </c>
      <c r="G35" s="42">
        <f t="shared" si="12"/>
        <v>45280</v>
      </c>
      <c r="H35" s="43">
        <f t="shared" si="13"/>
        <v>91</v>
      </c>
      <c r="I35" s="43">
        <f t="shared" si="14"/>
        <v>365</v>
      </c>
      <c r="J35" s="79">
        <f t="shared" si="21"/>
        <v>0.76999999999999991</v>
      </c>
      <c r="K35" s="44">
        <f t="shared" si="15"/>
        <v>16.125698630136984</v>
      </c>
      <c r="L35" s="45">
        <v>16</v>
      </c>
      <c r="M35" s="45">
        <f t="shared" si="16"/>
        <v>68</v>
      </c>
      <c r="N35" s="45">
        <f t="shared" si="17"/>
        <v>32.125698630136981</v>
      </c>
      <c r="O35" s="47">
        <f>+N35*$P$15/100</f>
        <v>19250044.190421186</v>
      </c>
      <c r="P35" s="74">
        <f t="shared" si="22"/>
        <v>0.69499999999999995</v>
      </c>
      <c r="Q35" s="1"/>
      <c r="R35" s="16">
        <f t="shared" si="6"/>
        <v>1</v>
      </c>
      <c r="S35" s="16">
        <f t="shared" si="7"/>
        <v>0.48827374917136113</v>
      </c>
      <c r="T35" s="17">
        <f t="shared" si="8"/>
        <v>32.125698630136981</v>
      </c>
      <c r="U35" s="75">
        <f t="shared" si="9"/>
        <v>15.686135314886243</v>
      </c>
      <c r="V35" s="17">
        <f t="shared" si="10"/>
        <v>15.686135314886243</v>
      </c>
      <c r="W35" s="1"/>
      <c r="X35" s="1"/>
      <c r="Y35" s="1"/>
      <c r="Z35" s="1"/>
      <c r="AA35" s="1"/>
      <c r="AB35" s="1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</row>
    <row r="36" spans="2:143" s="12" customFormat="1" ht="12.75" customHeight="1" x14ac:dyDescent="0.2">
      <c r="B36" s="12">
        <f t="shared" si="18"/>
        <v>15</v>
      </c>
      <c r="C36" s="30">
        <f t="shared" si="19"/>
        <v>45371</v>
      </c>
      <c r="D36" s="32">
        <v>91</v>
      </c>
      <c r="E36" s="30">
        <f t="shared" si="11"/>
        <v>45371</v>
      </c>
      <c r="F36" s="39">
        <f t="shared" si="20"/>
        <v>45371</v>
      </c>
      <c r="G36" s="42">
        <f t="shared" si="12"/>
        <v>45371</v>
      </c>
      <c r="H36" s="43">
        <f t="shared" si="13"/>
        <v>91</v>
      </c>
      <c r="I36" s="43">
        <f t="shared" si="14"/>
        <v>456</v>
      </c>
      <c r="J36" s="79">
        <f t="shared" si="21"/>
        <v>0.76999999999999991</v>
      </c>
      <c r="K36" s="44">
        <f t="shared" si="15"/>
        <v>13.054136986301367</v>
      </c>
      <c r="L36" s="45">
        <v>16</v>
      </c>
      <c r="M36" s="45">
        <f t="shared" si="16"/>
        <v>52</v>
      </c>
      <c r="N36" s="45">
        <f t="shared" si="17"/>
        <v>29.054136986301366</v>
      </c>
      <c r="O36" s="47">
        <f t="shared" ref="O36:O38" si="23">+N36*$P$15/100</f>
        <v>17409533.325329188</v>
      </c>
      <c r="P36" s="74">
        <f t="shared" si="22"/>
        <v>0.69499999999999995</v>
      </c>
      <c r="Q36" s="1"/>
      <c r="R36" s="16">
        <f t="shared" si="6"/>
        <v>1.2493150684931507</v>
      </c>
      <c r="S36" s="16">
        <f t="shared" si="7"/>
        <v>0.40835931293565136</v>
      </c>
      <c r="T36" s="17">
        <f t="shared" si="8"/>
        <v>29.054136986301366</v>
      </c>
      <c r="U36" s="75">
        <f t="shared" si="9"/>
        <v>11.864527417664322</v>
      </c>
      <c r="V36" s="17">
        <f t="shared" si="10"/>
        <v>14.822532883438166</v>
      </c>
      <c r="W36" s="1"/>
      <c r="X36" s="1"/>
      <c r="Y36" s="1"/>
      <c r="Z36" s="1"/>
      <c r="AA36" s="1"/>
      <c r="AB36" s="1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</row>
    <row r="37" spans="2:143" s="12" customFormat="1" ht="12.75" customHeight="1" x14ac:dyDescent="0.2">
      <c r="B37" s="12">
        <f t="shared" si="18"/>
        <v>18</v>
      </c>
      <c r="C37" s="30">
        <f t="shared" si="19"/>
        <v>45463</v>
      </c>
      <c r="D37" s="32">
        <v>92</v>
      </c>
      <c r="E37" s="30">
        <f t="shared" si="11"/>
        <v>45463</v>
      </c>
      <c r="F37" s="39">
        <f t="shared" si="20"/>
        <v>45463</v>
      </c>
      <c r="G37" s="42">
        <f t="shared" si="12"/>
        <v>45463</v>
      </c>
      <c r="H37" s="43">
        <f t="shared" si="13"/>
        <v>92</v>
      </c>
      <c r="I37" s="43">
        <f t="shared" si="14"/>
        <v>548</v>
      </c>
      <c r="J37" s="79">
        <f t="shared" si="21"/>
        <v>0.76999999999999991</v>
      </c>
      <c r="K37" s="44">
        <f t="shared" si="15"/>
        <v>10.092273972602737</v>
      </c>
      <c r="L37" s="45">
        <v>16</v>
      </c>
      <c r="M37" s="45">
        <f t="shared" si="16"/>
        <v>36</v>
      </c>
      <c r="N37" s="45">
        <f t="shared" si="17"/>
        <v>26.092273972602737</v>
      </c>
      <c r="O37" s="47">
        <f t="shared" si="23"/>
        <v>15634754.99113333</v>
      </c>
      <c r="P37" s="74">
        <f t="shared" si="22"/>
        <v>0.69499999999999995</v>
      </c>
      <c r="Q37" s="1"/>
      <c r="R37" s="16">
        <f t="shared" si="6"/>
        <v>1.5013698630136987</v>
      </c>
      <c r="S37" s="16">
        <f t="shared" si="7"/>
        <v>0.34085414188540575</v>
      </c>
      <c r="T37" s="17">
        <f t="shared" si="8"/>
        <v>26.092273972602737</v>
      </c>
      <c r="U37" s="75">
        <f t="shared" si="9"/>
        <v>8.8936596547704134</v>
      </c>
      <c r="V37" s="17">
        <f t="shared" si="10"/>
        <v>13.352672577573115</v>
      </c>
      <c r="W37" s="1"/>
      <c r="X37" s="1"/>
      <c r="Y37" s="1"/>
      <c r="Z37" s="1"/>
      <c r="AA37" s="1"/>
      <c r="AB37" s="1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</row>
    <row r="38" spans="2:143" s="12" customFormat="1" ht="12.75" customHeight="1" x14ac:dyDescent="0.2">
      <c r="B38" s="12">
        <f t="shared" si="18"/>
        <v>21</v>
      </c>
      <c r="C38" s="30">
        <f t="shared" si="19"/>
        <v>45555</v>
      </c>
      <c r="D38" s="32">
        <v>92</v>
      </c>
      <c r="E38" s="30">
        <f t="shared" si="11"/>
        <v>45555</v>
      </c>
      <c r="F38" s="39">
        <f t="shared" si="20"/>
        <v>45555</v>
      </c>
      <c r="G38" s="42">
        <f t="shared" si="12"/>
        <v>45555</v>
      </c>
      <c r="H38" s="43">
        <f t="shared" si="13"/>
        <v>92</v>
      </c>
      <c r="I38" s="43">
        <f t="shared" si="14"/>
        <v>640</v>
      </c>
      <c r="J38" s="79">
        <f t="shared" si="21"/>
        <v>0.76999999999999991</v>
      </c>
      <c r="K38" s="44">
        <f t="shared" si="15"/>
        <v>6.9869589041095868</v>
      </c>
      <c r="L38" s="45">
        <v>16</v>
      </c>
      <c r="M38" s="45">
        <f t="shared" si="16"/>
        <v>20</v>
      </c>
      <c r="N38" s="45">
        <f t="shared" si="17"/>
        <v>22.986958904109585</v>
      </c>
      <c r="O38" s="47">
        <f t="shared" si="23"/>
        <v>13774018.731919436</v>
      </c>
      <c r="P38" s="74">
        <f t="shared" si="22"/>
        <v>0.69499999999999995</v>
      </c>
      <c r="Q38" s="1"/>
      <c r="R38" s="16">
        <f t="shared" si="6"/>
        <v>1.7534246575342465</v>
      </c>
      <c r="S38" s="16">
        <f t="shared" si="7"/>
        <v>0.28450813379329998</v>
      </c>
      <c r="T38" s="17">
        <f t="shared" si="8"/>
        <v>22.986958904109585</v>
      </c>
      <c r="U38" s="75">
        <f t="shared" si="9"/>
        <v>6.5399767793914982</v>
      </c>
      <c r="V38" s="17">
        <f t="shared" si="10"/>
        <v>11.467356544686462</v>
      </c>
      <c r="W38" s="1"/>
      <c r="X38" s="1"/>
      <c r="Y38" s="1"/>
      <c r="Z38" s="1"/>
      <c r="AA38" s="1"/>
      <c r="AB38" s="1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</row>
    <row r="39" spans="2:143" s="12" customFormat="1" ht="12.75" customHeight="1" x14ac:dyDescent="0.2">
      <c r="B39" s="12">
        <f t="shared" si="18"/>
        <v>24</v>
      </c>
      <c r="C39" s="30">
        <f t="shared" si="19"/>
        <v>45646</v>
      </c>
      <c r="D39" s="32">
        <v>91</v>
      </c>
      <c r="E39" s="30">
        <f t="shared" si="11"/>
        <v>45646</v>
      </c>
      <c r="F39" s="39">
        <f t="shared" si="20"/>
        <v>45646</v>
      </c>
      <c r="G39" s="53">
        <f t="shared" si="12"/>
        <v>45646</v>
      </c>
      <c r="H39" s="48">
        <f t="shared" si="13"/>
        <v>91</v>
      </c>
      <c r="I39" s="48">
        <f t="shared" si="14"/>
        <v>731</v>
      </c>
      <c r="J39" s="80">
        <f t="shared" si="21"/>
        <v>0.76999999999999991</v>
      </c>
      <c r="K39" s="54">
        <f t="shared" si="15"/>
        <v>3.8394520547945197</v>
      </c>
      <c r="L39" s="55">
        <v>20</v>
      </c>
      <c r="M39" s="55">
        <f>+M37-L39</f>
        <v>16</v>
      </c>
      <c r="N39" s="55">
        <f t="shared" si="17"/>
        <v>23.839452054794521</v>
      </c>
      <c r="O39" s="56">
        <f>+N39*$P$15/100</f>
        <v>14284841.267225228</v>
      </c>
      <c r="P39" s="76">
        <f t="shared" si="22"/>
        <v>0.69499999999999995</v>
      </c>
      <c r="Q39" s="1"/>
      <c r="R39" s="16">
        <f t="shared" si="6"/>
        <v>2.0027397260273974</v>
      </c>
      <c r="S39" s="16">
        <f t="shared" si="7"/>
        <v>0.23794346150618484</v>
      </c>
      <c r="T39" s="17">
        <f t="shared" si="8"/>
        <v>23.839452054794521</v>
      </c>
      <c r="U39" s="75">
        <f t="shared" si="9"/>
        <v>5.6724417423285391</v>
      </c>
      <c r="V39" s="17">
        <f t="shared" si="10"/>
        <v>11.360424420937431</v>
      </c>
      <c r="W39" s="1"/>
      <c r="X39" s="1"/>
      <c r="Y39" s="1"/>
      <c r="Z39" s="1"/>
      <c r="AA39" s="1"/>
      <c r="AB39" s="1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</row>
    <row r="40" spans="2:143" ht="12.75" customHeight="1" x14ac:dyDescent="0.2">
      <c r="G40" s="40"/>
      <c r="H40" s="13"/>
      <c r="I40" s="15"/>
      <c r="J40" s="41"/>
      <c r="K40" s="14"/>
      <c r="L40" s="38"/>
      <c r="M40" s="15"/>
      <c r="N40" s="15"/>
      <c r="O40" s="37"/>
      <c r="R40" s="1">
        <f t="shared" si="6"/>
        <v>0</v>
      </c>
      <c r="S40" s="1">
        <f t="shared" si="7"/>
        <v>1</v>
      </c>
      <c r="T40" s="1"/>
      <c r="U40" s="1"/>
      <c r="V40" s="1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2:143" x14ac:dyDescent="0.2">
      <c r="G41" s="18"/>
      <c r="H41" s="13"/>
      <c r="I41" s="13"/>
      <c r="J41" s="13"/>
      <c r="K41" s="13"/>
      <c r="L41" s="22">
        <f>SUM(L32:L39)</f>
        <v>100</v>
      </c>
      <c r="M41" s="15"/>
      <c r="N41" s="15"/>
      <c r="O41" s="23">
        <f>SUM(O31:O39)</f>
        <v>65366054.510092601</v>
      </c>
      <c r="R41" s="19"/>
      <c r="S41" s="19"/>
      <c r="T41" s="17"/>
      <c r="U41" s="17">
        <f>SUM(U32:U39)</f>
        <v>98.814229120647482</v>
      </c>
      <c r="V41" s="17">
        <f>SUM(V32:V39)</f>
        <v>92.89949156385407</v>
      </c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2:143" x14ac:dyDescent="0.2"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2:143" x14ac:dyDescent="0.2">
      <c r="R43" s="1"/>
      <c r="S43" s="1"/>
      <c r="T43" s="1"/>
      <c r="U43" s="1"/>
      <c r="V43" s="1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2:143" x14ac:dyDescent="0.2">
      <c r="R44" s="1"/>
      <c r="S44" s="1"/>
      <c r="T44" s="1"/>
      <c r="U44" s="1"/>
      <c r="V44" s="1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2:143" x14ac:dyDescent="0.2">
      <c r="R45" s="1"/>
      <c r="S45" s="1"/>
      <c r="T45" s="1"/>
      <c r="U45" s="1"/>
      <c r="V45" s="1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2:143" x14ac:dyDescent="0.2">
      <c r="R46" s="1"/>
      <c r="S46" s="1"/>
      <c r="T46" s="1"/>
      <c r="U46" s="1"/>
      <c r="V46" s="1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2:143" ht="9.75" customHeight="1" x14ac:dyDescent="0.2"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2:143" x14ac:dyDescent="0.2"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x14ac:dyDescent="0.2"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x14ac:dyDescent="0.2"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/>
      <c r="I52" s="57" t="s">
        <v>23</v>
      </c>
      <c r="J52" s="57"/>
      <c r="K52" s="57" t="s">
        <v>24</v>
      </c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1</v>
      </c>
      <c r="I53" s="57"/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2</v>
      </c>
      <c r="I54" s="57"/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3</v>
      </c>
      <c r="I55" s="57">
        <v>1</v>
      </c>
      <c r="J55" s="57"/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4</v>
      </c>
      <c r="I56" s="57"/>
      <c r="J56" s="57"/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5</v>
      </c>
      <c r="I57" s="57"/>
      <c r="J57" s="57"/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6</v>
      </c>
      <c r="I58" s="57">
        <v>2</v>
      </c>
      <c r="J58" s="57">
        <v>1</v>
      </c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7</v>
      </c>
      <c r="I59" s="57"/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8</v>
      </c>
      <c r="I60" s="57"/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9</v>
      </c>
      <c r="I61" s="57">
        <v>3</v>
      </c>
      <c r="J61" s="57"/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10</v>
      </c>
      <c r="I62" s="57"/>
      <c r="J62" s="57"/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11</v>
      </c>
      <c r="I63" s="57"/>
      <c r="J63" s="57"/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12</v>
      </c>
      <c r="I64" s="57">
        <v>4</v>
      </c>
      <c r="J64" s="57">
        <v>2</v>
      </c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13</v>
      </c>
      <c r="I65" s="57"/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14</v>
      </c>
      <c r="I66" s="57"/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15</v>
      </c>
      <c r="I67" s="57">
        <v>5</v>
      </c>
      <c r="J67" s="57"/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16</v>
      </c>
      <c r="I68" s="57"/>
      <c r="J68" s="57"/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17</v>
      </c>
      <c r="I69" s="57"/>
      <c r="J69" s="57"/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18</v>
      </c>
      <c r="I70" s="57">
        <v>6</v>
      </c>
      <c r="J70" s="57">
        <v>3</v>
      </c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19</v>
      </c>
      <c r="I71" s="57"/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20</v>
      </c>
      <c r="I72" s="57"/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21</v>
      </c>
      <c r="I73" s="57">
        <v>7</v>
      </c>
      <c r="J73" s="57"/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22</v>
      </c>
      <c r="I74" s="57"/>
      <c r="J74" s="57"/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23</v>
      </c>
      <c r="I75" s="57"/>
      <c r="J75" s="57"/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24</v>
      </c>
      <c r="I76" s="57">
        <v>8</v>
      </c>
      <c r="J76" s="57">
        <v>4</v>
      </c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25</v>
      </c>
      <c r="I77" s="57"/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26</v>
      </c>
      <c r="I78" s="57"/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27</v>
      </c>
      <c r="I79" s="57">
        <v>9</v>
      </c>
      <c r="J79" s="57"/>
      <c r="K79" s="57"/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28</v>
      </c>
      <c r="I80" s="57"/>
      <c r="J80" s="57"/>
      <c r="K80" s="57"/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29</v>
      </c>
      <c r="I81" s="57"/>
      <c r="J81" s="57"/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30</v>
      </c>
      <c r="I82" s="57">
        <v>10</v>
      </c>
      <c r="J82" s="57">
        <v>5</v>
      </c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31</v>
      </c>
      <c r="I83" s="57"/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32</v>
      </c>
      <c r="I84" s="57"/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33</v>
      </c>
      <c r="I85" s="57">
        <v>11</v>
      </c>
      <c r="J85" s="57"/>
      <c r="K85" s="57"/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34</v>
      </c>
      <c r="I86" s="57"/>
      <c r="J86" s="57"/>
      <c r="K86" s="57"/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35</v>
      </c>
      <c r="I87" s="57"/>
      <c r="J87" s="57"/>
      <c r="K87" s="57"/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36</v>
      </c>
      <c r="I88" s="57">
        <v>12</v>
      </c>
      <c r="J88" s="57">
        <v>6</v>
      </c>
      <c r="K88" s="57">
        <v>1</v>
      </c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37</v>
      </c>
      <c r="I89" s="57"/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38</v>
      </c>
      <c r="I90" s="57"/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39</v>
      </c>
      <c r="I91" s="57">
        <v>13</v>
      </c>
      <c r="J91" s="57"/>
      <c r="K91" s="57"/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40</v>
      </c>
      <c r="I92" s="57"/>
      <c r="J92" s="57"/>
      <c r="K92" s="57"/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41</v>
      </c>
      <c r="I93" s="57"/>
      <c r="J93" s="57"/>
      <c r="K93" s="57"/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42</v>
      </c>
      <c r="I94" s="57">
        <v>14</v>
      </c>
      <c r="J94" s="57">
        <v>7</v>
      </c>
      <c r="K94" s="57">
        <v>2</v>
      </c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43</v>
      </c>
      <c r="I95" s="57"/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44</v>
      </c>
      <c r="I96" s="57"/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45</v>
      </c>
      <c r="I97" s="57">
        <v>15</v>
      </c>
      <c r="J97" s="57"/>
      <c r="K97" s="57"/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46</v>
      </c>
      <c r="I98" s="57"/>
      <c r="J98" s="57"/>
      <c r="K98" s="57"/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47</v>
      </c>
      <c r="I99" s="57"/>
      <c r="J99" s="57"/>
      <c r="K99" s="57"/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48</v>
      </c>
      <c r="I100" s="57">
        <v>16</v>
      </c>
      <c r="J100" s="57">
        <v>8</v>
      </c>
      <c r="K100" s="57">
        <v>3</v>
      </c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49</v>
      </c>
      <c r="I101" s="57"/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50</v>
      </c>
      <c r="I102" s="57"/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51</v>
      </c>
      <c r="I103" s="57">
        <v>17</v>
      </c>
      <c r="J103" s="57"/>
      <c r="K103" s="57"/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H104" s="57">
        <v>52</v>
      </c>
      <c r="I104" s="57"/>
      <c r="J104" s="57"/>
      <c r="K104" s="57"/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hidden="1" x14ac:dyDescent="0.2">
      <c r="H105" s="57">
        <v>53</v>
      </c>
      <c r="I105" s="57"/>
      <c r="J105" s="57"/>
      <c r="K105" s="57"/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hidden="1" x14ac:dyDescent="0.2">
      <c r="H106" s="57">
        <v>54</v>
      </c>
      <c r="I106" s="57">
        <v>18</v>
      </c>
      <c r="J106" s="57">
        <v>9</v>
      </c>
      <c r="K106" s="57">
        <v>4</v>
      </c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hidden="1" x14ac:dyDescent="0.2">
      <c r="H107" s="57">
        <v>55</v>
      </c>
      <c r="I107" s="57"/>
      <c r="J107" s="57"/>
      <c r="K107" s="57"/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hidden="1" x14ac:dyDescent="0.2">
      <c r="H108" s="57">
        <v>56</v>
      </c>
      <c r="I108" s="57"/>
      <c r="J108" s="57"/>
      <c r="K108" s="57"/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hidden="1" x14ac:dyDescent="0.2">
      <c r="H109" s="57">
        <v>57</v>
      </c>
      <c r="I109" s="57">
        <v>19</v>
      </c>
      <c r="J109" s="57"/>
      <c r="K109" s="57"/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hidden="1" x14ac:dyDescent="0.2">
      <c r="H110" s="57">
        <v>58</v>
      </c>
      <c r="I110" s="57"/>
      <c r="J110" s="57"/>
      <c r="K110" s="57"/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hidden="1" x14ac:dyDescent="0.2">
      <c r="H111" s="57">
        <v>59</v>
      </c>
      <c r="I111" s="57"/>
      <c r="J111" s="57"/>
      <c r="K111" s="57"/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hidden="1" x14ac:dyDescent="0.2">
      <c r="H112" s="57">
        <v>60</v>
      </c>
      <c r="I112" s="57">
        <v>20</v>
      </c>
      <c r="J112" s="57">
        <v>10</v>
      </c>
      <c r="K112" s="57">
        <v>5</v>
      </c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hidden="1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R267" s="1"/>
      <c r="S267" s="1"/>
      <c r="T267" s="1"/>
      <c r="U267" s="1"/>
      <c r="V267" s="1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R268" s="1"/>
      <c r="S268" s="1"/>
      <c r="T268" s="1"/>
      <c r="U268" s="1"/>
      <c r="V268" s="1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R269" s="1"/>
      <c r="S269" s="1"/>
      <c r="T269" s="1"/>
      <c r="U269" s="1"/>
      <c r="V269" s="1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  <row r="270" spans="18:143" x14ac:dyDescent="0.2">
      <c r="R270" s="1"/>
      <c r="S270" s="1"/>
      <c r="T270" s="1"/>
      <c r="U270" s="1"/>
      <c r="V270" s="1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</row>
    <row r="271" spans="18:143" x14ac:dyDescent="0.2">
      <c r="R271" s="1"/>
      <c r="S271" s="1"/>
      <c r="T271" s="1"/>
      <c r="U271" s="1"/>
      <c r="V271" s="1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</row>
    <row r="272" spans="18:143" x14ac:dyDescent="0.2">
      <c r="R272" s="1"/>
      <c r="S272" s="1"/>
      <c r="T272" s="1"/>
      <c r="U272" s="1"/>
      <c r="V272" s="1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</row>
    <row r="273" spans="18:143" x14ac:dyDescent="0.2">
      <c r="R273" s="1"/>
      <c r="S273" s="1"/>
      <c r="T273" s="1"/>
      <c r="U273" s="1"/>
      <c r="V273" s="1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</row>
    <row r="274" spans="18:143" x14ac:dyDescent="0.2">
      <c r="R274" s="1"/>
      <c r="S274" s="1"/>
      <c r="T274" s="1"/>
      <c r="U274" s="1"/>
      <c r="V274" s="1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</row>
    <row r="275" spans="18:143" x14ac:dyDescent="0.2">
      <c r="R275" s="1"/>
      <c r="S275" s="1"/>
      <c r="T275" s="1"/>
      <c r="U275" s="1"/>
      <c r="V275" s="1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</row>
    <row r="276" spans="18:143" x14ac:dyDescent="0.2"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</row>
    <row r="277" spans="18:143" x14ac:dyDescent="0.2"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</row>
    <row r="278" spans="18:143" x14ac:dyDescent="0.2"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</row>
  </sheetData>
  <sheetProtection selectLockedCells="1"/>
  <mergeCells count="38">
    <mergeCell ref="L28:L29"/>
    <mergeCell ref="G28:G29"/>
    <mergeCell ref="H28:H29"/>
    <mergeCell ref="I28:I29"/>
    <mergeCell ref="J28:J29"/>
    <mergeCell ref="K28:K29"/>
    <mergeCell ref="M28:M29"/>
    <mergeCell ref="N28:N29"/>
    <mergeCell ref="O28:O29"/>
    <mergeCell ref="P28:P29"/>
    <mergeCell ref="N15:O15"/>
    <mergeCell ref="P15:Q15"/>
    <mergeCell ref="P13:Q13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1" min="4" max="12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3"/>
  <sheetViews>
    <sheetView showGridLines="0" workbookViewId="0">
      <selection activeCell="I15" sqref="I15"/>
    </sheetView>
  </sheetViews>
  <sheetFormatPr baseColWidth="10" defaultRowHeight="12.75" x14ac:dyDescent="0.2"/>
  <cols>
    <col min="1" max="1" width="3.5703125" style="107" customWidth="1"/>
    <col min="2" max="2" width="38" style="107" customWidth="1"/>
    <col min="3" max="5" width="11.42578125" style="107"/>
    <col min="6" max="6" width="11.42578125" style="111"/>
    <col min="7" max="7" width="12.5703125" style="110" bestFit="1" customWidth="1"/>
    <col min="8" max="8" width="11.42578125" style="110"/>
    <col min="9" max="256" width="11.42578125" style="107"/>
    <col min="257" max="257" width="3.5703125" style="107" customWidth="1"/>
    <col min="258" max="258" width="38" style="107" customWidth="1"/>
    <col min="259" max="262" width="11.42578125" style="107"/>
    <col min="263" max="263" width="12.5703125" style="107" bestFit="1" customWidth="1"/>
    <col min="264" max="512" width="11.42578125" style="107"/>
    <col min="513" max="513" width="3.5703125" style="107" customWidth="1"/>
    <col min="514" max="514" width="38" style="107" customWidth="1"/>
    <col min="515" max="518" width="11.42578125" style="107"/>
    <col min="519" max="519" width="12.5703125" style="107" bestFit="1" customWidth="1"/>
    <col min="520" max="768" width="11.42578125" style="107"/>
    <col min="769" max="769" width="3.5703125" style="107" customWidth="1"/>
    <col min="770" max="770" width="38" style="107" customWidth="1"/>
    <col min="771" max="774" width="11.42578125" style="107"/>
    <col min="775" max="775" width="12.5703125" style="107" bestFit="1" customWidth="1"/>
    <col min="776" max="1024" width="11.42578125" style="107"/>
    <col min="1025" max="1025" width="3.5703125" style="107" customWidth="1"/>
    <col min="1026" max="1026" width="38" style="107" customWidth="1"/>
    <col min="1027" max="1030" width="11.42578125" style="107"/>
    <col min="1031" max="1031" width="12.5703125" style="107" bestFit="1" customWidth="1"/>
    <col min="1032" max="1280" width="11.42578125" style="107"/>
    <col min="1281" max="1281" width="3.5703125" style="107" customWidth="1"/>
    <col min="1282" max="1282" width="38" style="107" customWidth="1"/>
    <col min="1283" max="1286" width="11.42578125" style="107"/>
    <col min="1287" max="1287" width="12.5703125" style="107" bestFit="1" customWidth="1"/>
    <col min="1288" max="1536" width="11.42578125" style="107"/>
    <col min="1537" max="1537" width="3.5703125" style="107" customWidth="1"/>
    <col min="1538" max="1538" width="38" style="107" customWidth="1"/>
    <col min="1539" max="1542" width="11.42578125" style="107"/>
    <col min="1543" max="1543" width="12.5703125" style="107" bestFit="1" customWidth="1"/>
    <col min="1544" max="1792" width="11.42578125" style="107"/>
    <col min="1793" max="1793" width="3.5703125" style="107" customWidth="1"/>
    <col min="1794" max="1794" width="38" style="107" customWidth="1"/>
    <col min="1795" max="1798" width="11.42578125" style="107"/>
    <col min="1799" max="1799" width="12.5703125" style="107" bestFit="1" customWidth="1"/>
    <col min="1800" max="2048" width="11.42578125" style="107"/>
    <col min="2049" max="2049" width="3.5703125" style="107" customWidth="1"/>
    <col min="2050" max="2050" width="38" style="107" customWidth="1"/>
    <col min="2051" max="2054" width="11.42578125" style="107"/>
    <col min="2055" max="2055" width="12.5703125" style="107" bestFit="1" customWidth="1"/>
    <col min="2056" max="2304" width="11.42578125" style="107"/>
    <col min="2305" max="2305" width="3.5703125" style="107" customWidth="1"/>
    <col min="2306" max="2306" width="38" style="107" customWidth="1"/>
    <col min="2307" max="2310" width="11.42578125" style="107"/>
    <col min="2311" max="2311" width="12.5703125" style="107" bestFit="1" customWidth="1"/>
    <col min="2312" max="2560" width="11.42578125" style="107"/>
    <col min="2561" max="2561" width="3.5703125" style="107" customWidth="1"/>
    <col min="2562" max="2562" width="38" style="107" customWidth="1"/>
    <col min="2563" max="2566" width="11.42578125" style="107"/>
    <col min="2567" max="2567" width="12.5703125" style="107" bestFit="1" customWidth="1"/>
    <col min="2568" max="2816" width="11.42578125" style="107"/>
    <col min="2817" max="2817" width="3.5703125" style="107" customWidth="1"/>
    <col min="2818" max="2818" width="38" style="107" customWidth="1"/>
    <col min="2819" max="2822" width="11.42578125" style="107"/>
    <col min="2823" max="2823" width="12.5703125" style="107" bestFit="1" customWidth="1"/>
    <col min="2824" max="3072" width="11.42578125" style="107"/>
    <col min="3073" max="3073" width="3.5703125" style="107" customWidth="1"/>
    <col min="3074" max="3074" width="38" style="107" customWidth="1"/>
    <col min="3075" max="3078" width="11.42578125" style="107"/>
    <col min="3079" max="3079" width="12.5703125" style="107" bestFit="1" customWidth="1"/>
    <col min="3080" max="3328" width="11.42578125" style="107"/>
    <col min="3329" max="3329" width="3.5703125" style="107" customWidth="1"/>
    <col min="3330" max="3330" width="38" style="107" customWidth="1"/>
    <col min="3331" max="3334" width="11.42578125" style="107"/>
    <col min="3335" max="3335" width="12.5703125" style="107" bestFit="1" customWidth="1"/>
    <col min="3336" max="3584" width="11.42578125" style="107"/>
    <col min="3585" max="3585" width="3.5703125" style="107" customWidth="1"/>
    <col min="3586" max="3586" width="38" style="107" customWidth="1"/>
    <col min="3587" max="3590" width="11.42578125" style="107"/>
    <col min="3591" max="3591" width="12.5703125" style="107" bestFit="1" customWidth="1"/>
    <col min="3592" max="3840" width="11.42578125" style="107"/>
    <col min="3841" max="3841" width="3.5703125" style="107" customWidth="1"/>
    <col min="3842" max="3842" width="38" style="107" customWidth="1"/>
    <col min="3843" max="3846" width="11.42578125" style="107"/>
    <col min="3847" max="3847" width="12.5703125" style="107" bestFit="1" customWidth="1"/>
    <col min="3848" max="4096" width="11.42578125" style="107"/>
    <col min="4097" max="4097" width="3.5703125" style="107" customWidth="1"/>
    <col min="4098" max="4098" width="38" style="107" customWidth="1"/>
    <col min="4099" max="4102" width="11.42578125" style="107"/>
    <col min="4103" max="4103" width="12.5703125" style="107" bestFit="1" customWidth="1"/>
    <col min="4104" max="4352" width="11.42578125" style="107"/>
    <col min="4353" max="4353" width="3.5703125" style="107" customWidth="1"/>
    <col min="4354" max="4354" width="38" style="107" customWidth="1"/>
    <col min="4355" max="4358" width="11.42578125" style="107"/>
    <col min="4359" max="4359" width="12.5703125" style="107" bestFit="1" customWidth="1"/>
    <col min="4360" max="4608" width="11.42578125" style="107"/>
    <col min="4609" max="4609" width="3.5703125" style="107" customWidth="1"/>
    <col min="4610" max="4610" width="38" style="107" customWidth="1"/>
    <col min="4611" max="4614" width="11.42578125" style="107"/>
    <col min="4615" max="4615" width="12.5703125" style="107" bestFit="1" customWidth="1"/>
    <col min="4616" max="4864" width="11.42578125" style="107"/>
    <col min="4865" max="4865" width="3.5703125" style="107" customWidth="1"/>
    <col min="4866" max="4866" width="38" style="107" customWidth="1"/>
    <col min="4867" max="4870" width="11.42578125" style="107"/>
    <col min="4871" max="4871" width="12.5703125" style="107" bestFit="1" customWidth="1"/>
    <col min="4872" max="5120" width="11.42578125" style="107"/>
    <col min="5121" max="5121" width="3.5703125" style="107" customWidth="1"/>
    <col min="5122" max="5122" width="38" style="107" customWidth="1"/>
    <col min="5123" max="5126" width="11.42578125" style="107"/>
    <col min="5127" max="5127" width="12.5703125" style="107" bestFit="1" customWidth="1"/>
    <col min="5128" max="5376" width="11.42578125" style="107"/>
    <col min="5377" max="5377" width="3.5703125" style="107" customWidth="1"/>
    <col min="5378" max="5378" width="38" style="107" customWidth="1"/>
    <col min="5379" max="5382" width="11.42578125" style="107"/>
    <col min="5383" max="5383" width="12.5703125" style="107" bestFit="1" customWidth="1"/>
    <col min="5384" max="5632" width="11.42578125" style="107"/>
    <col min="5633" max="5633" width="3.5703125" style="107" customWidth="1"/>
    <col min="5634" max="5634" width="38" style="107" customWidth="1"/>
    <col min="5635" max="5638" width="11.42578125" style="107"/>
    <col min="5639" max="5639" width="12.5703125" style="107" bestFit="1" customWidth="1"/>
    <col min="5640" max="5888" width="11.42578125" style="107"/>
    <col min="5889" max="5889" width="3.5703125" style="107" customWidth="1"/>
    <col min="5890" max="5890" width="38" style="107" customWidth="1"/>
    <col min="5891" max="5894" width="11.42578125" style="107"/>
    <col min="5895" max="5895" width="12.5703125" style="107" bestFit="1" customWidth="1"/>
    <col min="5896" max="6144" width="11.42578125" style="107"/>
    <col min="6145" max="6145" width="3.5703125" style="107" customWidth="1"/>
    <col min="6146" max="6146" width="38" style="107" customWidth="1"/>
    <col min="6147" max="6150" width="11.42578125" style="107"/>
    <col min="6151" max="6151" width="12.5703125" style="107" bestFit="1" customWidth="1"/>
    <col min="6152" max="6400" width="11.42578125" style="107"/>
    <col min="6401" max="6401" width="3.5703125" style="107" customWidth="1"/>
    <col min="6402" max="6402" width="38" style="107" customWidth="1"/>
    <col min="6403" max="6406" width="11.42578125" style="107"/>
    <col min="6407" max="6407" width="12.5703125" style="107" bestFit="1" customWidth="1"/>
    <col min="6408" max="6656" width="11.42578125" style="107"/>
    <col min="6657" max="6657" width="3.5703125" style="107" customWidth="1"/>
    <col min="6658" max="6658" width="38" style="107" customWidth="1"/>
    <col min="6659" max="6662" width="11.42578125" style="107"/>
    <col min="6663" max="6663" width="12.5703125" style="107" bestFit="1" customWidth="1"/>
    <col min="6664" max="6912" width="11.42578125" style="107"/>
    <col min="6913" max="6913" width="3.5703125" style="107" customWidth="1"/>
    <col min="6914" max="6914" width="38" style="107" customWidth="1"/>
    <col min="6915" max="6918" width="11.42578125" style="107"/>
    <col min="6919" max="6919" width="12.5703125" style="107" bestFit="1" customWidth="1"/>
    <col min="6920" max="7168" width="11.42578125" style="107"/>
    <col min="7169" max="7169" width="3.5703125" style="107" customWidth="1"/>
    <col min="7170" max="7170" width="38" style="107" customWidth="1"/>
    <col min="7171" max="7174" width="11.42578125" style="107"/>
    <col min="7175" max="7175" width="12.5703125" style="107" bestFit="1" customWidth="1"/>
    <col min="7176" max="7424" width="11.42578125" style="107"/>
    <col min="7425" max="7425" width="3.5703125" style="107" customWidth="1"/>
    <col min="7426" max="7426" width="38" style="107" customWidth="1"/>
    <col min="7427" max="7430" width="11.42578125" style="107"/>
    <col min="7431" max="7431" width="12.5703125" style="107" bestFit="1" customWidth="1"/>
    <col min="7432" max="7680" width="11.42578125" style="107"/>
    <col min="7681" max="7681" width="3.5703125" style="107" customWidth="1"/>
    <col min="7682" max="7682" width="38" style="107" customWidth="1"/>
    <col min="7683" max="7686" width="11.42578125" style="107"/>
    <col min="7687" max="7687" width="12.5703125" style="107" bestFit="1" customWidth="1"/>
    <col min="7688" max="7936" width="11.42578125" style="107"/>
    <col min="7937" max="7937" width="3.5703125" style="107" customWidth="1"/>
    <col min="7938" max="7938" width="38" style="107" customWidth="1"/>
    <col min="7939" max="7942" width="11.42578125" style="107"/>
    <col min="7943" max="7943" width="12.5703125" style="107" bestFit="1" customWidth="1"/>
    <col min="7944" max="8192" width="11.42578125" style="107"/>
    <col min="8193" max="8193" width="3.5703125" style="107" customWidth="1"/>
    <col min="8194" max="8194" width="38" style="107" customWidth="1"/>
    <col min="8195" max="8198" width="11.42578125" style="107"/>
    <col min="8199" max="8199" width="12.5703125" style="107" bestFit="1" customWidth="1"/>
    <col min="8200" max="8448" width="11.42578125" style="107"/>
    <col min="8449" max="8449" width="3.5703125" style="107" customWidth="1"/>
    <col min="8450" max="8450" width="38" style="107" customWidth="1"/>
    <col min="8451" max="8454" width="11.42578125" style="107"/>
    <col min="8455" max="8455" width="12.5703125" style="107" bestFit="1" customWidth="1"/>
    <col min="8456" max="8704" width="11.42578125" style="107"/>
    <col min="8705" max="8705" width="3.5703125" style="107" customWidth="1"/>
    <col min="8706" max="8706" width="38" style="107" customWidth="1"/>
    <col min="8707" max="8710" width="11.42578125" style="107"/>
    <col min="8711" max="8711" width="12.5703125" style="107" bestFit="1" customWidth="1"/>
    <col min="8712" max="8960" width="11.42578125" style="107"/>
    <col min="8961" max="8961" width="3.5703125" style="107" customWidth="1"/>
    <col min="8962" max="8962" width="38" style="107" customWidth="1"/>
    <col min="8963" max="8966" width="11.42578125" style="107"/>
    <col min="8967" max="8967" width="12.5703125" style="107" bestFit="1" customWidth="1"/>
    <col min="8968" max="9216" width="11.42578125" style="107"/>
    <col min="9217" max="9217" width="3.5703125" style="107" customWidth="1"/>
    <col min="9218" max="9218" width="38" style="107" customWidth="1"/>
    <col min="9219" max="9222" width="11.42578125" style="107"/>
    <col min="9223" max="9223" width="12.5703125" style="107" bestFit="1" customWidth="1"/>
    <col min="9224" max="9472" width="11.42578125" style="107"/>
    <col min="9473" max="9473" width="3.5703125" style="107" customWidth="1"/>
    <col min="9474" max="9474" width="38" style="107" customWidth="1"/>
    <col min="9475" max="9478" width="11.42578125" style="107"/>
    <col min="9479" max="9479" width="12.5703125" style="107" bestFit="1" customWidth="1"/>
    <col min="9480" max="9728" width="11.42578125" style="107"/>
    <col min="9729" max="9729" width="3.5703125" style="107" customWidth="1"/>
    <col min="9730" max="9730" width="38" style="107" customWidth="1"/>
    <col min="9731" max="9734" width="11.42578125" style="107"/>
    <col min="9735" max="9735" width="12.5703125" style="107" bestFit="1" customWidth="1"/>
    <col min="9736" max="9984" width="11.42578125" style="107"/>
    <col min="9985" max="9985" width="3.5703125" style="107" customWidth="1"/>
    <col min="9986" max="9986" width="38" style="107" customWidth="1"/>
    <col min="9987" max="9990" width="11.42578125" style="107"/>
    <col min="9991" max="9991" width="12.5703125" style="107" bestFit="1" customWidth="1"/>
    <col min="9992" max="10240" width="11.42578125" style="107"/>
    <col min="10241" max="10241" width="3.5703125" style="107" customWidth="1"/>
    <col min="10242" max="10242" width="38" style="107" customWidth="1"/>
    <col min="10243" max="10246" width="11.42578125" style="107"/>
    <col min="10247" max="10247" width="12.5703125" style="107" bestFit="1" customWidth="1"/>
    <col min="10248" max="10496" width="11.42578125" style="107"/>
    <col min="10497" max="10497" width="3.5703125" style="107" customWidth="1"/>
    <col min="10498" max="10498" width="38" style="107" customWidth="1"/>
    <col min="10499" max="10502" width="11.42578125" style="107"/>
    <col min="10503" max="10503" width="12.5703125" style="107" bestFit="1" customWidth="1"/>
    <col min="10504" max="10752" width="11.42578125" style="107"/>
    <col min="10753" max="10753" width="3.5703125" style="107" customWidth="1"/>
    <col min="10754" max="10754" width="38" style="107" customWidth="1"/>
    <col min="10755" max="10758" width="11.42578125" style="107"/>
    <col min="10759" max="10759" width="12.5703125" style="107" bestFit="1" customWidth="1"/>
    <col min="10760" max="11008" width="11.42578125" style="107"/>
    <col min="11009" max="11009" width="3.5703125" style="107" customWidth="1"/>
    <col min="11010" max="11010" width="38" style="107" customWidth="1"/>
    <col min="11011" max="11014" width="11.42578125" style="107"/>
    <col min="11015" max="11015" width="12.5703125" style="107" bestFit="1" customWidth="1"/>
    <col min="11016" max="11264" width="11.42578125" style="107"/>
    <col min="11265" max="11265" width="3.5703125" style="107" customWidth="1"/>
    <col min="11266" max="11266" width="38" style="107" customWidth="1"/>
    <col min="11267" max="11270" width="11.42578125" style="107"/>
    <col min="11271" max="11271" width="12.5703125" style="107" bestFit="1" customWidth="1"/>
    <col min="11272" max="11520" width="11.42578125" style="107"/>
    <col min="11521" max="11521" width="3.5703125" style="107" customWidth="1"/>
    <col min="11522" max="11522" width="38" style="107" customWidth="1"/>
    <col min="11523" max="11526" width="11.42578125" style="107"/>
    <col min="11527" max="11527" width="12.5703125" style="107" bestFit="1" customWidth="1"/>
    <col min="11528" max="11776" width="11.42578125" style="107"/>
    <col min="11777" max="11777" width="3.5703125" style="107" customWidth="1"/>
    <col min="11778" max="11778" width="38" style="107" customWidth="1"/>
    <col min="11779" max="11782" width="11.42578125" style="107"/>
    <col min="11783" max="11783" width="12.5703125" style="107" bestFit="1" customWidth="1"/>
    <col min="11784" max="12032" width="11.42578125" style="107"/>
    <col min="12033" max="12033" width="3.5703125" style="107" customWidth="1"/>
    <col min="12034" max="12034" width="38" style="107" customWidth="1"/>
    <col min="12035" max="12038" width="11.42578125" style="107"/>
    <col min="12039" max="12039" width="12.5703125" style="107" bestFit="1" customWidth="1"/>
    <col min="12040" max="12288" width="11.42578125" style="107"/>
    <col min="12289" max="12289" width="3.5703125" style="107" customWidth="1"/>
    <col min="12290" max="12290" width="38" style="107" customWidth="1"/>
    <col min="12291" max="12294" width="11.42578125" style="107"/>
    <col min="12295" max="12295" width="12.5703125" style="107" bestFit="1" customWidth="1"/>
    <col min="12296" max="12544" width="11.42578125" style="107"/>
    <col min="12545" max="12545" width="3.5703125" style="107" customWidth="1"/>
    <col min="12546" max="12546" width="38" style="107" customWidth="1"/>
    <col min="12547" max="12550" width="11.42578125" style="107"/>
    <col min="12551" max="12551" width="12.5703125" style="107" bestFit="1" customWidth="1"/>
    <col min="12552" max="12800" width="11.42578125" style="107"/>
    <col min="12801" max="12801" width="3.5703125" style="107" customWidth="1"/>
    <col min="12802" max="12802" width="38" style="107" customWidth="1"/>
    <col min="12803" max="12806" width="11.42578125" style="107"/>
    <col min="12807" max="12807" width="12.5703125" style="107" bestFit="1" customWidth="1"/>
    <col min="12808" max="13056" width="11.42578125" style="107"/>
    <col min="13057" max="13057" width="3.5703125" style="107" customWidth="1"/>
    <col min="13058" max="13058" width="38" style="107" customWidth="1"/>
    <col min="13059" max="13062" width="11.42578125" style="107"/>
    <col min="13063" max="13063" width="12.5703125" style="107" bestFit="1" customWidth="1"/>
    <col min="13064" max="13312" width="11.42578125" style="107"/>
    <col min="13313" max="13313" width="3.5703125" style="107" customWidth="1"/>
    <col min="13314" max="13314" width="38" style="107" customWidth="1"/>
    <col min="13315" max="13318" width="11.42578125" style="107"/>
    <col min="13319" max="13319" width="12.5703125" style="107" bestFit="1" customWidth="1"/>
    <col min="13320" max="13568" width="11.42578125" style="107"/>
    <col min="13569" max="13569" width="3.5703125" style="107" customWidth="1"/>
    <col min="13570" max="13570" width="38" style="107" customWidth="1"/>
    <col min="13571" max="13574" width="11.42578125" style="107"/>
    <col min="13575" max="13575" width="12.5703125" style="107" bestFit="1" customWidth="1"/>
    <col min="13576" max="13824" width="11.42578125" style="107"/>
    <col min="13825" max="13825" width="3.5703125" style="107" customWidth="1"/>
    <col min="13826" max="13826" width="38" style="107" customWidth="1"/>
    <col min="13827" max="13830" width="11.42578125" style="107"/>
    <col min="13831" max="13831" width="12.5703125" style="107" bestFit="1" customWidth="1"/>
    <col min="13832" max="14080" width="11.42578125" style="107"/>
    <col min="14081" max="14081" width="3.5703125" style="107" customWidth="1"/>
    <col min="14082" max="14082" width="38" style="107" customWidth="1"/>
    <col min="14083" max="14086" width="11.42578125" style="107"/>
    <col min="14087" max="14087" width="12.5703125" style="107" bestFit="1" customWidth="1"/>
    <col min="14088" max="14336" width="11.42578125" style="107"/>
    <col min="14337" max="14337" width="3.5703125" style="107" customWidth="1"/>
    <col min="14338" max="14338" width="38" style="107" customWidth="1"/>
    <col min="14339" max="14342" width="11.42578125" style="107"/>
    <col min="14343" max="14343" width="12.5703125" style="107" bestFit="1" customWidth="1"/>
    <col min="14344" max="14592" width="11.42578125" style="107"/>
    <col min="14593" max="14593" width="3.5703125" style="107" customWidth="1"/>
    <col min="14594" max="14594" width="38" style="107" customWidth="1"/>
    <col min="14595" max="14598" width="11.42578125" style="107"/>
    <col min="14599" max="14599" width="12.5703125" style="107" bestFit="1" customWidth="1"/>
    <col min="14600" max="14848" width="11.42578125" style="107"/>
    <col min="14849" max="14849" width="3.5703125" style="107" customWidth="1"/>
    <col min="14850" max="14850" width="38" style="107" customWidth="1"/>
    <col min="14851" max="14854" width="11.42578125" style="107"/>
    <col min="14855" max="14855" width="12.5703125" style="107" bestFit="1" customWidth="1"/>
    <col min="14856" max="15104" width="11.42578125" style="107"/>
    <col min="15105" max="15105" width="3.5703125" style="107" customWidth="1"/>
    <col min="15106" max="15106" width="38" style="107" customWidth="1"/>
    <col min="15107" max="15110" width="11.42578125" style="107"/>
    <col min="15111" max="15111" width="12.5703125" style="107" bestFit="1" customWidth="1"/>
    <col min="15112" max="15360" width="11.42578125" style="107"/>
    <col min="15361" max="15361" width="3.5703125" style="107" customWidth="1"/>
    <col min="15362" max="15362" width="38" style="107" customWidth="1"/>
    <col min="15363" max="15366" width="11.42578125" style="107"/>
    <col min="15367" max="15367" width="12.5703125" style="107" bestFit="1" customWidth="1"/>
    <col min="15368" max="15616" width="11.42578125" style="107"/>
    <col min="15617" max="15617" width="3.5703125" style="107" customWidth="1"/>
    <col min="15618" max="15618" width="38" style="107" customWidth="1"/>
    <col min="15619" max="15622" width="11.42578125" style="107"/>
    <col min="15623" max="15623" width="12.5703125" style="107" bestFit="1" customWidth="1"/>
    <col min="15624" max="15872" width="11.42578125" style="107"/>
    <col min="15873" max="15873" width="3.5703125" style="107" customWidth="1"/>
    <col min="15874" max="15874" width="38" style="107" customWidth="1"/>
    <col min="15875" max="15878" width="11.42578125" style="107"/>
    <col min="15879" max="15879" width="12.5703125" style="107" bestFit="1" customWidth="1"/>
    <col min="15880" max="16128" width="11.42578125" style="107"/>
    <col min="16129" max="16129" width="3.5703125" style="107" customWidth="1"/>
    <col min="16130" max="16130" width="38" style="107" customWidth="1"/>
    <col min="16131" max="16134" width="11.42578125" style="107"/>
    <col min="16135" max="16135" width="12.5703125" style="107" bestFit="1" customWidth="1"/>
    <col min="16136" max="16384" width="11.42578125" style="107"/>
  </cols>
  <sheetData>
    <row r="2" spans="2:12" ht="20.25" customHeight="1" x14ac:dyDescent="0.2">
      <c r="B2" s="106" t="s">
        <v>50</v>
      </c>
      <c r="F2" s="108"/>
      <c r="G2" s="109"/>
    </row>
    <row r="3" spans="2:12" ht="13.5" thickBot="1" x14ac:dyDescent="0.25">
      <c r="G3" s="203" t="s">
        <v>44</v>
      </c>
      <c r="H3" s="203"/>
    </row>
    <row r="4" spans="2:12" ht="15.75" thickBot="1" x14ac:dyDescent="0.3">
      <c r="B4" s="112" t="s">
        <v>43</v>
      </c>
      <c r="C4" s="113">
        <v>44825</v>
      </c>
      <c r="D4" s="113"/>
      <c r="F4" s="108"/>
      <c r="G4" s="114" t="s">
        <v>10</v>
      </c>
      <c r="H4" s="115">
        <f>+AVERAGE(H5:H63)</f>
        <v>0.68737288135593222</v>
      </c>
      <c r="K4" s="116" t="s">
        <v>10</v>
      </c>
      <c r="L4" s="116" t="s">
        <v>51</v>
      </c>
    </row>
    <row r="5" spans="2:12" ht="16.5" thickTop="1" thickBot="1" x14ac:dyDescent="0.25">
      <c r="B5" s="112" t="s">
        <v>52</v>
      </c>
      <c r="C5" s="117">
        <v>44915</v>
      </c>
      <c r="D5" s="118"/>
      <c r="F5" s="118"/>
      <c r="G5" s="119">
        <v>44816</v>
      </c>
      <c r="H5" s="120">
        <v>0.64187499999999997</v>
      </c>
      <c r="I5" s="121"/>
      <c r="K5" s="122">
        <v>44816</v>
      </c>
      <c r="L5" s="123">
        <v>0.64187499999999997</v>
      </c>
    </row>
    <row r="6" spans="2:12" ht="15.75" thickBot="1" x14ac:dyDescent="0.25">
      <c r="B6" s="112" t="s">
        <v>44</v>
      </c>
      <c r="C6" s="124">
        <f>+H4</f>
        <v>0.68737288135593222</v>
      </c>
      <c r="D6" s="125"/>
      <c r="F6" s="118"/>
      <c r="G6" s="119">
        <v>44817</v>
      </c>
      <c r="H6" s="120">
        <v>0.63937500000000003</v>
      </c>
      <c r="I6" s="121"/>
      <c r="K6" s="122">
        <v>44817</v>
      </c>
      <c r="L6" s="123">
        <v>0.63937500000000003</v>
      </c>
    </row>
    <row r="7" spans="2:12" ht="15.75" thickBot="1" x14ac:dyDescent="0.25">
      <c r="B7" s="112" t="s">
        <v>53</v>
      </c>
      <c r="C7" s="126">
        <v>5.9700000000000003E-2</v>
      </c>
      <c r="F7" s="118"/>
      <c r="G7" s="119">
        <v>44818</v>
      </c>
      <c r="H7" s="120">
        <v>0.63875000000000004</v>
      </c>
      <c r="I7" s="121"/>
      <c r="K7" s="122">
        <v>44818</v>
      </c>
      <c r="L7" s="123">
        <v>0.63875000000000004</v>
      </c>
    </row>
    <row r="8" spans="2:12" ht="15.75" thickBot="1" x14ac:dyDescent="0.25">
      <c r="B8" s="108" t="s">
        <v>54</v>
      </c>
      <c r="C8" s="126">
        <f>+C7+C6</f>
        <v>0.74707288135593219</v>
      </c>
      <c r="F8" s="118"/>
      <c r="G8" s="119">
        <v>44819</v>
      </c>
      <c r="H8" s="120">
        <v>0.640625</v>
      </c>
      <c r="I8" s="121"/>
      <c r="K8" s="122">
        <v>44819</v>
      </c>
      <c r="L8" s="123">
        <v>0.640625</v>
      </c>
    </row>
    <row r="9" spans="2:12" ht="15.75" thickBot="1" x14ac:dyDescent="0.25">
      <c r="B9" s="108" t="s">
        <v>45</v>
      </c>
      <c r="C9" s="107">
        <v>100</v>
      </c>
      <c r="F9" s="118"/>
      <c r="G9" s="119">
        <v>44820</v>
      </c>
      <c r="H9" s="120">
        <v>0.68187500000000001</v>
      </c>
      <c r="I9" s="121"/>
      <c r="K9" s="122">
        <v>44820</v>
      </c>
      <c r="L9" s="123">
        <v>0.68187500000000001</v>
      </c>
    </row>
    <row r="10" spans="2:12" ht="15.75" thickBot="1" x14ac:dyDescent="0.25">
      <c r="B10" s="112" t="s">
        <v>14</v>
      </c>
      <c r="C10" s="127">
        <v>0.5</v>
      </c>
      <c r="F10" s="118"/>
      <c r="G10" s="119">
        <v>44823</v>
      </c>
      <c r="H10" s="120">
        <v>0.68687500000000001</v>
      </c>
      <c r="I10" s="121"/>
      <c r="K10" s="122">
        <v>44823</v>
      </c>
      <c r="L10" s="123">
        <v>0.68687500000000001</v>
      </c>
    </row>
    <row r="11" spans="2:12" ht="15.75" thickBot="1" x14ac:dyDescent="0.25">
      <c r="B11" s="112" t="s">
        <v>46</v>
      </c>
      <c r="C11" s="128">
        <f>+(C9*C10)*C8/365*(C5-C4)</f>
        <v>9.2104875783608069</v>
      </c>
      <c r="F11" s="118"/>
      <c r="G11" s="129">
        <v>44824</v>
      </c>
      <c r="H11" s="130">
        <v>0.68687500000000001</v>
      </c>
      <c r="I11" s="121"/>
      <c r="K11" s="122">
        <v>44824</v>
      </c>
      <c r="L11" s="123">
        <v>0.68687500000000001</v>
      </c>
    </row>
    <row r="12" spans="2:12" ht="15.75" thickBot="1" x14ac:dyDescent="0.25">
      <c r="B12" s="112" t="s">
        <v>47</v>
      </c>
      <c r="C12" s="131">
        <f>+((C10*C9)+C11)/C9</f>
        <v>0.59210487578360804</v>
      </c>
      <c r="E12" s="110"/>
      <c r="F12" s="118"/>
      <c r="G12" s="119">
        <v>44825</v>
      </c>
      <c r="H12" s="120">
        <v>0.69687500000000002</v>
      </c>
      <c r="I12" s="121"/>
      <c r="K12" s="122">
        <v>44825</v>
      </c>
      <c r="L12" s="123">
        <v>0.69687500000000002</v>
      </c>
    </row>
    <row r="13" spans="2:12" ht="15.75" thickBot="1" x14ac:dyDescent="0.25">
      <c r="B13" s="112" t="s">
        <v>48</v>
      </c>
      <c r="C13" s="132">
        <f>+[1]Resumen!J7</f>
        <v>5.0000000000000001E-3</v>
      </c>
      <c r="D13" s="133"/>
      <c r="F13" s="118"/>
      <c r="G13" s="119">
        <v>44826</v>
      </c>
      <c r="H13" s="120">
        <v>0.68625000000000003</v>
      </c>
      <c r="I13" s="121"/>
      <c r="K13" s="122">
        <v>44826</v>
      </c>
      <c r="L13" s="123">
        <v>0.68625000000000003</v>
      </c>
    </row>
    <row r="14" spans="2:12" ht="15.75" thickBot="1" x14ac:dyDescent="0.25">
      <c r="B14" s="112" t="s">
        <v>49</v>
      </c>
      <c r="C14" s="134">
        <f>C12+(C12*C13)</f>
        <v>0.59506540016252607</v>
      </c>
      <c r="D14" s="135"/>
      <c r="F14" s="118"/>
      <c r="G14" s="119">
        <v>44827</v>
      </c>
      <c r="H14" s="120">
        <v>0.6875</v>
      </c>
      <c r="I14" s="121"/>
      <c r="K14" s="122">
        <v>44827</v>
      </c>
      <c r="L14" s="123">
        <v>0.6875</v>
      </c>
    </row>
    <row r="15" spans="2:12" ht="15.75" thickBot="1" x14ac:dyDescent="0.25">
      <c r="C15" s="128"/>
      <c r="F15" s="118"/>
      <c r="G15" s="119">
        <v>44830</v>
      </c>
      <c r="H15" s="120">
        <v>0.6925</v>
      </c>
      <c r="I15" s="121"/>
      <c r="K15" s="122">
        <v>44830</v>
      </c>
      <c r="L15" s="123">
        <v>0.6925</v>
      </c>
    </row>
    <row r="16" spans="2:12" ht="15.75" thickBot="1" x14ac:dyDescent="0.25">
      <c r="C16" s="136"/>
      <c r="F16" s="118"/>
      <c r="G16" s="119">
        <v>44831</v>
      </c>
      <c r="H16" s="120">
        <v>0.6825</v>
      </c>
      <c r="I16" s="121"/>
      <c r="K16" s="122">
        <v>44831</v>
      </c>
      <c r="L16" s="123">
        <v>0.6825</v>
      </c>
    </row>
    <row r="17" spans="6:12" ht="15.75" thickBot="1" x14ac:dyDescent="0.3">
      <c r="F17" s="118"/>
      <c r="G17" s="129">
        <v>44832</v>
      </c>
      <c r="H17" s="137">
        <v>0.69</v>
      </c>
      <c r="I17" s="121"/>
      <c r="K17" s="122">
        <v>44832</v>
      </c>
      <c r="L17" s="123">
        <v>0.69</v>
      </c>
    </row>
    <row r="18" spans="6:12" ht="15.75" thickBot="1" x14ac:dyDescent="0.3">
      <c r="F18" s="118"/>
      <c r="G18" s="129">
        <v>44833</v>
      </c>
      <c r="H18" s="137">
        <v>0.69125000000000003</v>
      </c>
      <c r="I18" s="121"/>
      <c r="K18" s="122">
        <v>44833</v>
      </c>
      <c r="L18" s="123">
        <v>0.69125000000000003</v>
      </c>
    </row>
    <row r="19" spans="6:12" ht="15.75" thickBot="1" x14ac:dyDescent="0.3">
      <c r="F19" s="118"/>
      <c r="G19" s="129">
        <v>44834</v>
      </c>
      <c r="H19" s="137">
        <v>0.69125000000000003</v>
      </c>
      <c r="I19" s="121"/>
      <c r="K19" s="122">
        <v>44834</v>
      </c>
      <c r="L19" s="123">
        <v>0.69125000000000003</v>
      </c>
    </row>
    <row r="20" spans="6:12" ht="15.75" thickBot="1" x14ac:dyDescent="0.3">
      <c r="F20" s="118"/>
      <c r="G20" s="129">
        <v>44837</v>
      </c>
      <c r="H20" s="137">
        <v>0.698125</v>
      </c>
      <c r="I20" s="121"/>
      <c r="K20" s="122">
        <v>44837</v>
      </c>
      <c r="L20" s="123">
        <v>0.698125</v>
      </c>
    </row>
    <row r="21" spans="6:12" ht="15.75" thickBot="1" x14ac:dyDescent="0.3">
      <c r="F21" s="118"/>
      <c r="G21" s="129">
        <v>44838</v>
      </c>
      <c r="H21" s="137">
        <v>0.6875</v>
      </c>
      <c r="I21" s="121"/>
      <c r="K21" s="122">
        <v>44838</v>
      </c>
      <c r="L21" s="123">
        <v>0.6875</v>
      </c>
    </row>
    <row r="22" spans="6:12" ht="15.75" thickBot="1" x14ac:dyDescent="0.3">
      <c r="F22" s="118"/>
      <c r="G22" s="129">
        <v>44839</v>
      </c>
      <c r="H22" s="137">
        <v>0.69499999999999995</v>
      </c>
      <c r="I22" s="121"/>
      <c r="K22" s="122">
        <v>44839</v>
      </c>
      <c r="L22" s="123">
        <v>0.69499999999999995</v>
      </c>
    </row>
    <row r="23" spans="6:12" ht="15.75" thickBot="1" x14ac:dyDescent="0.3">
      <c r="F23" s="118"/>
      <c r="G23" s="129">
        <v>44840</v>
      </c>
      <c r="H23" s="137">
        <v>0.68625000000000003</v>
      </c>
      <c r="I23" s="121"/>
      <c r="K23" s="122">
        <v>44840</v>
      </c>
      <c r="L23" s="123">
        <v>0.68625000000000003</v>
      </c>
    </row>
    <row r="24" spans="6:12" ht="15.75" thickBot="1" x14ac:dyDescent="0.3">
      <c r="F24" s="118"/>
      <c r="G24" s="129">
        <v>44845</v>
      </c>
      <c r="H24" s="137">
        <v>0.698125</v>
      </c>
      <c r="I24" s="121"/>
      <c r="K24" s="122">
        <v>44845</v>
      </c>
      <c r="L24" s="123">
        <v>0.698125</v>
      </c>
    </row>
    <row r="25" spans="6:12" ht="15.75" thickBot="1" x14ac:dyDescent="0.3">
      <c r="F25" s="118"/>
      <c r="G25" s="129">
        <v>44846</v>
      </c>
      <c r="H25" s="137">
        <v>0.69562500000000005</v>
      </c>
      <c r="I25" s="121"/>
      <c r="K25" s="122">
        <v>44846</v>
      </c>
      <c r="L25" s="123">
        <v>0.69562500000000005</v>
      </c>
    </row>
    <row r="26" spans="6:12" ht="15.75" thickBot="1" x14ac:dyDescent="0.3">
      <c r="F26" s="118"/>
      <c r="G26" s="129">
        <v>44847</v>
      </c>
      <c r="H26" s="137">
        <v>0.69374999999999998</v>
      </c>
      <c r="I26" s="121"/>
      <c r="K26" s="122">
        <v>44847</v>
      </c>
      <c r="L26" s="123">
        <v>0.69374999999999998</v>
      </c>
    </row>
    <row r="27" spans="6:12" ht="15.75" thickBot="1" x14ac:dyDescent="0.3">
      <c r="F27" s="118"/>
      <c r="G27" s="129">
        <v>44848</v>
      </c>
      <c r="H27" s="137">
        <v>0.6875</v>
      </c>
      <c r="I27" s="121"/>
      <c r="K27" s="122">
        <v>44848</v>
      </c>
      <c r="L27" s="123">
        <v>0.6875</v>
      </c>
    </row>
    <row r="28" spans="6:12" ht="15.75" thickBot="1" x14ac:dyDescent="0.3">
      <c r="F28" s="118"/>
      <c r="G28" s="129">
        <v>44851</v>
      </c>
      <c r="H28" s="137">
        <v>0.69437499999999996</v>
      </c>
      <c r="I28" s="121"/>
      <c r="K28" s="122">
        <v>44851</v>
      </c>
      <c r="L28" s="123">
        <v>0.69437499999999996</v>
      </c>
    </row>
    <row r="29" spans="6:12" ht="15.75" thickBot="1" x14ac:dyDescent="0.3">
      <c r="F29" s="118"/>
      <c r="G29" s="129">
        <v>44852</v>
      </c>
      <c r="H29" s="137">
        <v>0.6825</v>
      </c>
      <c r="I29" s="121"/>
      <c r="K29" s="122">
        <v>44852</v>
      </c>
      <c r="L29" s="123">
        <v>0.6825</v>
      </c>
    </row>
    <row r="30" spans="6:12" ht="15.75" thickBot="1" x14ac:dyDescent="0.3">
      <c r="F30" s="118"/>
      <c r="G30" s="129">
        <v>44853</v>
      </c>
      <c r="H30" s="137">
        <v>0.68687500000000001</v>
      </c>
      <c r="I30" s="121"/>
      <c r="K30" s="122">
        <v>44853</v>
      </c>
      <c r="L30" s="123">
        <v>0.68687500000000001</v>
      </c>
    </row>
    <row r="31" spans="6:12" ht="15.75" thickBot="1" x14ac:dyDescent="0.3">
      <c r="F31" s="118"/>
      <c r="G31" s="129">
        <v>44854</v>
      </c>
      <c r="H31" s="137">
        <v>0.68625000000000003</v>
      </c>
      <c r="I31" s="121"/>
      <c r="K31" s="122">
        <v>44854</v>
      </c>
      <c r="L31" s="123">
        <v>0.68625000000000003</v>
      </c>
    </row>
    <row r="32" spans="6:12" ht="15.75" thickBot="1" x14ac:dyDescent="0.3">
      <c r="F32" s="118"/>
      <c r="G32" s="129">
        <v>44855</v>
      </c>
      <c r="H32" s="137">
        <v>0.69125000000000003</v>
      </c>
      <c r="I32" s="121"/>
      <c r="K32" s="122">
        <v>44855</v>
      </c>
      <c r="L32" s="123">
        <v>0.69125000000000003</v>
      </c>
    </row>
    <row r="33" spans="6:12" ht="15.75" thickBot="1" x14ac:dyDescent="0.3">
      <c r="F33" s="118"/>
      <c r="G33" s="129">
        <v>44858</v>
      </c>
      <c r="H33" s="137">
        <v>0.69125000000000003</v>
      </c>
      <c r="I33" s="121"/>
      <c r="K33" s="122">
        <v>44858</v>
      </c>
      <c r="L33" s="123">
        <v>0.69125000000000003</v>
      </c>
    </row>
    <row r="34" spans="6:12" ht="15.75" thickBot="1" x14ac:dyDescent="0.3">
      <c r="F34" s="118"/>
      <c r="G34" s="129">
        <v>44859</v>
      </c>
      <c r="H34" s="137">
        <v>0.6825</v>
      </c>
      <c r="I34" s="121"/>
      <c r="K34" s="122">
        <v>44859</v>
      </c>
      <c r="L34" s="123">
        <v>0.6825</v>
      </c>
    </row>
    <row r="35" spans="6:12" ht="15.75" thickBot="1" x14ac:dyDescent="0.3">
      <c r="F35" s="118"/>
      <c r="G35" s="129">
        <v>44860</v>
      </c>
      <c r="H35" s="137">
        <v>0.6925</v>
      </c>
      <c r="I35" s="121"/>
      <c r="K35" s="122">
        <v>44860</v>
      </c>
      <c r="L35" s="123">
        <v>0.6925</v>
      </c>
    </row>
    <row r="36" spans="6:12" ht="15.75" thickBot="1" x14ac:dyDescent="0.3">
      <c r="F36" s="118"/>
      <c r="G36" s="129">
        <v>44861</v>
      </c>
      <c r="H36" s="137">
        <v>0.68937499999999996</v>
      </c>
      <c r="I36" s="121"/>
      <c r="K36" s="122">
        <v>44861</v>
      </c>
      <c r="L36" s="123">
        <v>0.68937499999999996</v>
      </c>
    </row>
    <row r="37" spans="6:12" ht="15.75" thickBot="1" x14ac:dyDescent="0.3">
      <c r="F37" s="118"/>
      <c r="G37" s="129">
        <v>44862</v>
      </c>
      <c r="H37" s="137">
        <v>0.68812499999999999</v>
      </c>
      <c r="I37" s="121"/>
      <c r="K37" s="122">
        <v>44862</v>
      </c>
      <c r="L37" s="123">
        <v>0.68812499999999999</v>
      </c>
    </row>
    <row r="38" spans="6:12" ht="15.75" thickBot="1" x14ac:dyDescent="0.3">
      <c r="F38" s="118"/>
      <c r="G38" s="129">
        <v>44865</v>
      </c>
      <c r="H38" s="137">
        <v>0.69499999999999995</v>
      </c>
      <c r="I38" s="121"/>
      <c r="K38" s="122">
        <v>44865</v>
      </c>
      <c r="L38" s="123">
        <v>0.69499999999999995</v>
      </c>
    </row>
    <row r="39" spans="6:12" ht="15.75" thickBot="1" x14ac:dyDescent="0.3">
      <c r="F39" s="118"/>
      <c r="G39" s="129">
        <v>44866</v>
      </c>
      <c r="H39" s="137">
        <v>0.69125000000000003</v>
      </c>
      <c r="I39" s="121"/>
      <c r="K39" s="122">
        <v>44866</v>
      </c>
      <c r="L39" s="123">
        <v>0.69125000000000003</v>
      </c>
    </row>
    <row r="40" spans="6:12" ht="15.75" thickBot="1" x14ac:dyDescent="0.3">
      <c r="F40" s="118"/>
      <c r="G40" s="129">
        <v>44867</v>
      </c>
      <c r="H40" s="137">
        <v>0.698125</v>
      </c>
      <c r="I40" s="121"/>
      <c r="K40" s="122">
        <v>44867</v>
      </c>
      <c r="L40" s="123">
        <v>0.698125</v>
      </c>
    </row>
    <row r="41" spans="6:12" ht="15.75" thickBot="1" x14ac:dyDescent="0.3">
      <c r="F41" s="118"/>
      <c r="G41" s="129">
        <v>44868</v>
      </c>
      <c r="H41" s="137">
        <v>0.6875</v>
      </c>
      <c r="I41" s="121"/>
      <c r="K41" s="122">
        <v>44868</v>
      </c>
      <c r="L41" s="123">
        <v>0.6875</v>
      </c>
    </row>
    <row r="42" spans="6:12" ht="15.75" thickBot="1" x14ac:dyDescent="0.3">
      <c r="F42" s="118"/>
      <c r="G42" s="129">
        <v>44869</v>
      </c>
      <c r="H42" s="137">
        <v>0.69625000000000004</v>
      </c>
      <c r="I42" s="121"/>
      <c r="K42" s="122">
        <v>44869</v>
      </c>
      <c r="L42" s="123">
        <v>0.69625000000000004</v>
      </c>
    </row>
    <row r="43" spans="6:12" ht="15.75" thickBot="1" x14ac:dyDescent="0.3">
      <c r="F43" s="118"/>
      <c r="G43" s="129">
        <v>44872</v>
      </c>
      <c r="H43" s="137">
        <v>0.69437499999999996</v>
      </c>
      <c r="I43" s="121"/>
      <c r="K43" s="122">
        <v>44872</v>
      </c>
      <c r="L43" s="123">
        <v>0.69437499999999996</v>
      </c>
    </row>
    <row r="44" spans="6:12" ht="15.75" thickBot="1" x14ac:dyDescent="0.3">
      <c r="F44" s="118"/>
      <c r="G44" s="129">
        <v>44873</v>
      </c>
      <c r="H44" s="137">
        <v>0.69062500000000004</v>
      </c>
      <c r="I44" s="121"/>
      <c r="K44" s="122">
        <v>44873</v>
      </c>
      <c r="L44" s="123">
        <v>0.69062500000000004</v>
      </c>
    </row>
    <row r="45" spans="6:12" ht="15.75" thickBot="1" x14ac:dyDescent="0.3">
      <c r="F45" s="118"/>
      <c r="G45" s="129">
        <v>44874</v>
      </c>
      <c r="H45" s="137">
        <v>0.68437499999999996</v>
      </c>
      <c r="I45" s="121"/>
      <c r="K45" s="122">
        <v>44874</v>
      </c>
      <c r="L45" s="123">
        <v>0.68437499999999996</v>
      </c>
    </row>
    <row r="46" spans="6:12" ht="15.75" thickBot="1" x14ac:dyDescent="0.3">
      <c r="F46" s="118"/>
      <c r="G46" s="129">
        <v>44875</v>
      </c>
      <c r="H46" s="137">
        <v>0.70125000000000004</v>
      </c>
      <c r="I46" s="121"/>
      <c r="K46" s="122">
        <v>44875</v>
      </c>
      <c r="L46" s="123">
        <v>0.70125000000000004</v>
      </c>
    </row>
    <row r="47" spans="6:12" ht="15.75" thickBot="1" x14ac:dyDescent="0.3">
      <c r="F47" s="118"/>
      <c r="G47" s="129">
        <v>44876</v>
      </c>
      <c r="H47" s="137">
        <v>0.7</v>
      </c>
      <c r="I47" s="121"/>
      <c r="K47" s="122">
        <v>44876</v>
      </c>
      <c r="L47" s="123">
        <v>0.7</v>
      </c>
    </row>
    <row r="48" spans="6:12" ht="15.75" thickBot="1" x14ac:dyDescent="0.3">
      <c r="F48" s="118"/>
      <c r="G48" s="129">
        <v>44879</v>
      </c>
      <c r="H48" s="137">
        <v>0.69687500000000002</v>
      </c>
      <c r="I48" s="121"/>
      <c r="K48" s="122">
        <v>44879</v>
      </c>
      <c r="L48" s="123">
        <v>0.69687500000000002</v>
      </c>
    </row>
    <row r="49" spans="6:12" ht="15.75" thickBot="1" x14ac:dyDescent="0.3">
      <c r="F49" s="118"/>
      <c r="G49" s="129">
        <v>44880</v>
      </c>
      <c r="H49" s="137">
        <v>0.68625000000000003</v>
      </c>
      <c r="I49" s="121"/>
      <c r="K49" s="122">
        <v>44880</v>
      </c>
      <c r="L49" s="123">
        <v>0.68625000000000003</v>
      </c>
    </row>
    <row r="50" spans="6:12" ht="15.75" thickBot="1" x14ac:dyDescent="0.3">
      <c r="F50" s="118"/>
      <c r="G50" s="129">
        <v>44881</v>
      </c>
      <c r="H50" s="137">
        <v>0.6925</v>
      </c>
      <c r="I50" s="121"/>
      <c r="K50" s="122">
        <v>44881</v>
      </c>
      <c r="L50" s="123">
        <v>0.6925</v>
      </c>
    </row>
    <row r="51" spans="6:12" ht="15.75" thickBot="1" x14ac:dyDescent="0.3">
      <c r="F51" s="118"/>
      <c r="G51" s="129">
        <v>44882</v>
      </c>
      <c r="H51" s="137">
        <v>0.68687500000000001</v>
      </c>
      <c r="I51" s="121"/>
      <c r="K51" s="122">
        <v>44882</v>
      </c>
      <c r="L51" s="123">
        <v>0.68687500000000001</v>
      </c>
    </row>
    <row r="52" spans="6:12" ht="15.75" thickBot="1" x14ac:dyDescent="0.3">
      <c r="F52" s="118"/>
      <c r="G52" s="129">
        <v>44883</v>
      </c>
      <c r="H52" s="137">
        <v>0.68562500000000004</v>
      </c>
      <c r="I52" s="121"/>
      <c r="K52" s="122">
        <v>44883</v>
      </c>
      <c r="L52" s="123">
        <v>0.68562500000000004</v>
      </c>
    </row>
    <row r="53" spans="6:12" ht="15.75" thickBot="1" x14ac:dyDescent="0.3">
      <c r="F53" s="118"/>
      <c r="G53" s="129">
        <v>44887</v>
      </c>
      <c r="H53" s="137">
        <v>0.69625000000000004</v>
      </c>
      <c r="I53" s="121"/>
      <c r="K53" s="122">
        <v>44887</v>
      </c>
      <c r="L53" s="123">
        <v>0.69625000000000004</v>
      </c>
    </row>
    <row r="54" spans="6:12" ht="15.75" thickBot="1" x14ac:dyDescent="0.3">
      <c r="F54" s="118"/>
      <c r="G54" s="129">
        <v>44888</v>
      </c>
      <c r="H54" s="137">
        <v>0.6925</v>
      </c>
      <c r="I54" s="121"/>
      <c r="K54" s="122">
        <v>44888</v>
      </c>
      <c r="L54" s="123">
        <v>0.6925</v>
      </c>
    </row>
    <row r="55" spans="6:12" ht="15.75" thickBot="1" x14ac:dyDescent="0.3">
      <c r="F55" s="118"/>
      <c r="G55" s="129">
        <v>44889</v>
      </c>
      <c r="H55" s="137">
        <v>0.68374999999999997</v>
      </c>
      <c r="I55" s="121"/>
      <c r="K55" s="122">
        <v>44889</v>
      </c>
      <c r="L55" s="123">
        <v>0.68374999999999997</v>
      </c>
    </row>
    <row r="56" spans="6:12" ht="15.75" thickBot="1" x14ac:dyDescent="0.3">
      <c r="F56" s="118"/>
      <c r="G56" s="129">
        <v>44890</v>
      </c>
      <c r="H56" s="137">
        <v>0.69187500000000002</v>
      </c>
      <c r="I56" s="121"/>
      <c r="K56" s="122">
        <v>44890</v>
      </c>
      <c r="L56" s="123">
        <v>0.69187500000000002</v>
      </c>
    </row>
    <row r="57" spans="6:12" ht="15.75" thickBot="1" x14ac:dyDescent="0.3">
      <c r="F57" s="118"/>
      <c r="G57" s="129">
        <v>44893</v>
      </c>
      <c r="H57" s="137">
        <v>0.69312499999999999</v>
      </c>
      <c r="I57" s="121"/>
      <c r="K57" s="122">
        <v>44893</v>
      </c>
      <c r="L57" s="123">
        <v>0.69312499999999999</v>
      </c>
    </row>
    <row r="58" spans="6:12" ht="15.75" thickBot="1" x14ac:dyDescent="0.3">
      <c r="F58" s="118"/>
      <c r="G58" s="129">
        <v>44894</v>
      </c>
      <c r="H58" s="137">
        <v>0.68312499999999998</v>
      </c>
      <c r="I58" s="121"/>
      <c r="K58" s="122">
        <v>44894</v>
      </c>
      <c r="L58" s="123">
        <v>0.68312499999999998</v>
      </c>
    </row>
    <row r="59" spans="6:12" ht="15.75" thickBot="1" x14ac:dyDescent="0.3">
      <c r="G59" s="129">
        <v>44895</v>
      </c>
      <c r="H59" s="137">
        <v>0.69499999999999995</v>
      </c>
      <c r="I59" s="121"/>
      <c r="K59" s="138">
        <v>44895</v>
      </c>
      <c r="L59" s="139">
        <v>0.69499999999999995</v>
      </c>
    </row>
    <row r="60" spans="6:12" ht="15.75" thickBot="1" x14ac:dyDescent="0.3">
      <c r="G60" s="129">
        <v>44896</v>
      </c>
      <c r="H60" s="137">
        <v>0.69062500000000004</v>
      </c>
      <c r="I60" s="121"/>
      <c r="K60" s="122">
        <v>44896</v>
      </c>
      <c r="L60" s="123">
        <v>0.69062500000000004</v>
      </c>
    </row>
    <row r="61" spans="6:12" ht="15.75" thickBot="1" x14ac:dyDescent="0.3">
      <c r="G61" s="129">
        <v>44897</v>
      </c>
      <c r="H61" s="137">
        <v>0.69</v>
      </c>
      <c r="I61" s="121"/>
      <c r="K61" s="122">
        <v>44897</v>
      </c>
      <c r="L61" s="123">
        <v>0.69</v>
      </c>
    </row>
    <row r="62" spans="6:12" ht="15.75" thickBot="1" x14ac:dyDescent="0.3">
      <c r="G62" s="129">
        <v>44900</v>
      </c>
      <c r="H62" s="137">
        <v>0.69937499999999997</v>
      </c>
      <c r="I62" s="121"/>
      <c r="K62" s="122">
        <v>44900</v>
      </c>
      <c r="L62" s="123">
        <v>0.69937499999999997</v>
      </c>
    </row>
    <row r="63" spans="6:12" ht="15.75" thickBot="1" x14ac:dyDescent="0.3">
      <c r="G63" s="129">
        <v>44901</v>
      </c>
      <c r="H63" s="137">
        <v>0.69125000000000003</v>
      </c>
      <c r="I63" s="121"/>
      <c r="K63" s="138">
        <v>44901</v>
      </c>
      <c r="L63" s="140">
        <v>0.69125000000000003</v>
      </c>
    </row>
  </sheetData>
  <mergeCells count="1">
    <mergeCell ref="G3:H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showGridLines="0" workbookViewId="0">
      <selection activeCell="C14" sqref="C14"/>
    </sheetView>
  </sheetViews>
  <sheetFormatPr baseColWidth="10" defaultRowHeight="12.75" x14ac:dyDescent="0.2"/>
  <cols>
    <col min="1" max="1" width="3.5703125" style="107" customWidth="1"/>
    <col min="2" max="2" width="38" style="107" customWidth="1"/>
    <col min="3" max="5" width="11.42578125" style="107"/>
    <col min="6" max="6" width="11.42578125" style="111"/>
    <col min="7" max="7" width="12.5703125" style="110" bestFit="1" customWidth="1"/>
    <col min="8" max="8" width="11.42578125" style="110"/>
    <col min="9" max="256" width="11.42578125" style="107"/>
    <col min="257" max="257" width="3.5703125" style="107" customWidth="1"/>
    <col min="258" max="258" width="38" style="107" customWidth="1"/>
    <col min="259" max="262" width="11.42578125" style="107"/>
    <col min="263" max="263" width="12.5703125" style="107" bestFit="1" customWidth="1"/>
    <col min="264" max="512" width="11.42578125" style="107"/>
    <col min="513" max="513" width="3.5703125" style="107" customWidth="1"/>
    <col min="514" max="514" width="38" style="107" customWidth="1"/>
    <col min="515" max="518" width="11.42578125" style="107"/>
    <col min="519" max="519" width="12.5703125" style="107" bestFit="1" customWidth="1"/>
    <col min="520" max="768" width="11.42578125" style="107"/>
    <col min="769" max="769" width="3.5703125" style="107" customWidth="1"/>
    <col min="770" max="770" width="38" style="107" customWidth="1"/>
    <col min="771" max="774" width="11.42578125" style="107"/>
    <col min="775" max="775" width="12.5703125" style="107" bestFit="1" customWidth="1"/>
    <col min="776" max="1024" width="11.42578125" style="107"/>
    <col min="1025" max="1025" width="3.5703125" style="107" customWidth="1"/>
    <col min="1026" max="1026" width="38" style="107" customWidth="1"/>
    <col min="1027" max="1030" width="11.42578125" style="107"/>
    <col min="1031" max="1031" width="12.5703125" style="107" bestFit="1" customWidth="1"/>
    <col min="1032" max="1280" width="11.42578125" style="107"/>
    <col min="1281" max="1281" width="3.5703125" style="107" customWidth="1"/>
    <col min="1282" max="1282" width="38" style="107" customWidth="1"/>
    <col min="1283" max="1286" width="11.42578125" style="107"/>
    <col min="1287" max="1287" width="12.5703125" style="107" bestFit="1" customWidth="1"/>
    <col min="1288" max="1536" width="11.42578125" style="107"/>
    <col min="1537" max="1537" width="3.5703125" style="107" customWidth="1"/>
    <col min="1538" max="1538" width="38" style="107" customWidth="1"/>
    <col min="1539" max="1542" width="11.42578125" style="107"/>
    <col min="1543" max="1543" width="12.5703125" style="107" bestFit="1" customWidth="1"/>
    <col min="1544" max="1792" width="11.42578125" style="107"/>
    <col min="1793" max="1793" width="3.5703125" style="107" customWidth="1"/>
    <col min="1794" max="1794" width="38" style="107" customWidth="1"/>
    <col min="1795" max="1798" width="11.42578125" style="107"/>
    <col min="1799" max="1799" width="12.5703125" style="107" bestFit="1" customWidth="1"/>
    <col min="1800" max="2048" width="11.42578125" style="107"/>
    <col min="2049" max="2049" width="3.5703125" style="107" customWidth="1"/>
    <col min="2050" max="2050" width="38" style="107" customWidth="1"/>
    <col min="2051" max="2054" width="11.42578125" style="107"/>
    <col min="2055" max="2055" width="12.5703125" style="107" bestFit="1" customWidth="1"/>
    <col min="2056" max="2304" width="11.42578125" style="107"/>
    <col min="2305" max="2305" width="3.5703125" style="107" customWidth="1"/>
    <col min="2306" max="2306" width="38" style="107" customWidth="1"/>
    <col min="2307" max="2310" width="11.42578125" style="107"/>
    <col min="2311" max="2311" width="12.5703125" style="107" bestFit="1" customWidth="1"/>
    <col min="2312" max="2560" width="11.42578125" style="107"/>
    <col min="2561" max="2561" width="3.5703125" style="107" customWidth="1"/>
    <col min="2562" max="2562" width="38" style="107" customWidth="1"/>
    <col min="2563" max="2566" width="11.42578125" style="107"/>
    <col min="2567" max="2567" width="12.5703125" style="107" bestFit="1" customWidth="1"/>
    <col min="2568" max="2816" width="11.42578125" style="107"/>
    <col min="2817" max="2817" width="3.5703125" style="107" customWidth="1"/>
    <col min="2818" max="2818" width="38" style="107" customWidth="1"/>
    <col min="2819" max="2822" width="11.42578125" style="107"/>
    <col min="2823" max="2823" width="12.5703125" style="107" bestFit="1" customWidth="1"/>
    <col min="2824" max="3072" width="11.42578125" style="107"/>
    <col min="3073" max="3073" width="3.5703125" style="107" customWidth="1"/>
    <col min="3074" max="3074" width="38" style="107" customWidth="1"/>
    <col min="3075" max="3078" width="11.42578125" style="107"/>
    <col min="3079" max="3079" width="12.5703125" style="107" bestFit="1" customWidth="1"/>
    <col min="3080" max="3328" width="11.42578125" style="107"/>
    <col min="3329" max="3329" width="3.5703125" style="107" customWidth="1"/>
    <col min="3330" max="3330" width="38" style="107" customWidth="1"/>
    <col min="3331" max="3334" width="11.42578125" style="107"/>
    <col min="3335" max="3335" width="12.5703125" style="107" bestFit="1" customWidth="1"/>
    <col min="3336" max="3584" width="11.42578125" style="107"/>
    <col min="3585" max="3585" width="3.5703125" style="107" customWidth="1"/>
    <col min="3586" max="3586" width="38" style="107" customWidth="1"/>
    <col min="3587" max="3590" width="11.42578125" style="107"/>
    <col min="3591" max="3591" width="12.5703125" style="107" bestFit="1" customWidth="1"/>
    <col min="3592" max="3840" width="11.42578125" style="107"/>
    <col min="3841" max="3841" width="3.5703125" style="107" customWidth="1"/>
    <col min="3842" max="3842" width="38" style="107" customWidth="1"/>
    <col min="3843" max="3846" width="11.42578125" style="107"/>
    <col min="3847" max="3847" width="12.5703125" style="107" bestFit="1" customWidth="1"/>
    <col min="3848" max="4096" width="11.42578125" style="107"/>
    <col min="4097" max="4097" width="3.5703125" style="107" customWidth="1"/>
    <col min="4098" max="4098" width="38" style="107" customWidth="1"/>
    <col min="4099" max="4102" width="11.42578125" style="107"/>
    <col min="4103" max="4103" width="12.5703125" style="107" bestFit="1" customWidth="1"/>
    <col min="4104" max="4352" width="11.42578125" style="107"/>
    <col min="4353" max="4353" width="3.5703125" style="107" customWidth="1"/>
    <col min="4354" max="4354" width="38" style="107" customWidth="1"/>
    <col min="4355" max="4358" width="11.42578125" style="107"/>
    <col min="4359" max="4359" width="12.5703125" style="107" bestFit="1" customWidth="1"/>
    <col min="4360" max="4608" width="11.42578125" style="107"/>
    <col min="4609" max="4609" width="3.5703125" style="107" customWidth="1"/>
    <col min="4610" max="4610" width="38" style="107" customWidth="1"/>
    <col min="4611" max="4614" width="11.42578125" style="107"/>
    <col min="4615" max="4615" width="12.5703125" style="107" bestFit="1" customWidth="1"/>
    <col min="4616" max="4864" width="11.42578125" style="107"/>
    <col min="4865" max="4865" width="3.5703125" style="107" customWidth="1"/>
    <col min="4866" max="4866" width="38" style="107" customWidth="1"/>
    <col min="4867" max="4870" width="11.42578125" style="107"/>
    <col min="4871" max="4871" width="12.5703125" style="107" bestFit="1" customWidth="1"/>
    <col min="4872" max="5120" width="11.42578125" style="107"/>
    <col min="5121" max="5121" width="3.5703125" style="107" customWidth="1"/>
    <col min="5122" max="5122" width="38" style="107" customWidth="1"/>
    <col min="5123" max="5126" width="11.42578125" style="107"/>
    <col min="5127" max="5127" width="12.5703125" style="107" bestFit="1" customWidth="1"/>
    <col min="5128" max="5376" width="11.42578125" style="107"/>
    <col min="5377" max="5377" width="3.5703125" style="107" customWidth="1"/>
    <col min="5378" max="5378" width="38" style="107" customWidth="1"/>
    <col min="5379" max="5382" width="11.42578125" style="107"/>
    <col min="5383" max="5383" width="12.5703125" style="107" bestFit="1" customWidth="1"/>
    <col min="5384" max="5632" width="11.42578125" style="107"/>
    <col min="5633" max="5633" width="3.5703125" style="107" customWidth="1"/>
    <col min="5634" max="5634" width="38" style="107" customWidth="1"/>
    <col min="5635" max="5638" width="11.42578125" style="107"/>
    <col min="5639" max="5639" width="12.5703125" style="107" bestFit="1" customWidth="1"/>
    <col min="5640" max="5888" width="11.42578125" style="107"/>
    <col min="5889" max="5889" width="3.5703125" style="107" customWidth="1"/>
    <col min="5890" max="5890" width="38" style="107" customWidth="1"/>
    <col min="5891" max="5894" width="11.42578125" style="107"/>
    <col min="5895" max="5895" width="12.5703125" style="107" bestFit="1" customWidth="1"/>
    <col min="5896" max="6144" width="11.42578125" style="107"/>
    <col min="6145" max="6145" width="3.5703125" style="107" customWidth="1"/>
    <col min="6146" max="6146" width="38" style="107" customWidth="1"/>
    <col min="6147" max="6150" width="11.42578125" style="107"/>
    <col min="6151" max="6151" width="12.5703125" style="107" bestFit="1" customWidth="1"/>
    <col min="6152" max="6400" width="11.42578125" style="107"/>
    <col min="6401" max="6401" width="3.5703125" style="107" customWidth="1"/>
    <col min="6402" max="6402" width="38" style="107" customWidth="1"/>
    <col min="6403" max="6406" width="11.42578125" style="107"/>
    <col min="6407" max="6407" width="12.5703125" style="107" bestFit="1" customWidth="1"/>
    <col min="6408" max="6656" width="11.42578125" style="107"/>
    <col min="6657" max="6657" width="3.5703125" style="107" customWidth="1"/>
    <col min="6658" max="6658" width="38" style="107" customWidth="1"/>
    <col min="6659" max="6662" width="11.42578125" style="107"/>
    <col min="6663" max="6663" width="12.5703125" style="107" bestFit="1" customWidth="1"/>
    <col min="6664" max="6912" width="11.42578125" style="107"/>
    <col min="6913" max="6913" width="3.5703125" style="107" customWidth="1"/>
    <col min="6914" max="6914" width="38" style="107" customWidth="1"/>
    <col min="6915" max="6918" width="11.42578125" style="107"/>
    <col min="6919" max="6919" width="12.5703125" style="107" bestFit="1" customWidth="1"/>
    <col min="6920" max="7168" width="11.42578125" style="107"/>
    <col min="7169" max="7169" width="3.5703125" style="107" customWidth="1"/>
    <col min="7170" max="7170" width="38" style="107" customWidth="1"/>
    <col min="7171" max="7174" width="11.42578125" style="107"/>
    <col min="7175" max="7175" width="12.5703125" style="107" bestFit="1" customWidth="1"/>
    <col min="7176" max="7424" width="11.42578125" style="107"/>
    <col min="7425" max="7425" width="3.5703125" style="107" customWidth="1"/>
    <col min="7426" max="7426" width="38" style="107" customWidth="1"/>
    <col min="7427" max="7430" width="11.42578125" style="107"/>
    <col min="7431" max="7431" width="12.5703125" style="107" bestFit="1" customWidth="1"/>
    <col min="7432" max="7680" width="11.42578125" style="107"/>
    <col min="7681" max="7681" width="3.5703125" style="107" customWidth="1"/>
    <col min="7682" max="7682" width="38" style="107" customWidth="1"/>
    <col min="7683" max="7686" width="11.42578125" style="107"/>
    <col min="7687" max="7687" width="12.5703125" style="107" bestFit="1" customWidth="1"/>
    <col min="7688" max="7936" width="11.42578125" style="107"/>
    <col min="7937" max="7937" width="3.5703125" style="107" customWidth="1"/>
    <col min="7938" max="7938" width="38" style="107" customWidth="1"/>
    <col min="7939" max="7942" width="11.42578125" style="107"/>
    <col min="7943" max="7943" width="12.5703125" style="107" bestFit="1" customWidth="1"/>
    <col min="7944" max="8192" width="11.42578125" style="107"/>
    <col min="8193" max="8193" width="3.5703125" style="107" customWidth="1"/>
    <col min="8194" max="8194" width="38" style="107" customWidth="1"/>
    <col min="8195" max="8198" width="11.42578125" style="107"/>
    <col min="8199" max="8199" width="12.5703125" style="107" bestFit="1" customWidth="1"/>
    <col min="8200" max="8448" width="11.42578125" style="107"/>
    <col min="8449" max="8449" width="3.5703125" style="107" customWidth="1"/>
    <col min="8450" max="8450" width="38" style="107" customWidth="1"/>
    <col min="8451" max="8454" width="11.42578125" style="107"/>
    <col min="8455" max="8455" width="12.5703125" style="107" bestFit="1" customWidth="1"/>
    <col min="8456" max="8704" width="11.42578125" style="107"/>
    <col min="8705" max="8705" width="3.5703125" style="107" customWidth="1"/>
    <col min="8706" max="8706" width="38" style="107" customWidth="1"/>
    <col min="8707" max="8710" width="11.42578125" style="107"/>
    <col min="8711" max="8711" width="12.5703125" style="107" bestFit="1" customWidth="1"/>
    <col min="8712" max="8960" width="11.42578125" style="107"/>
    <col min="8961" max="8961" width="3.5703125" style="107" customWidth="1"/>
    <col min="8962" max="8962" width="38" style="107" customWidth="1"/>
    <col min="8963" max="8966" width="11.42578125" style="107"/>
    <col min="8967" max="8967" width="12.5703125" style="107" bestFit="1" customWidth="1"/>
    <col min="8968" max="9216" width="11.42578125" style="107"/>
    <col min="9217" max="9217" width="3.5703125" style="107" customWidth="1"/>
    <col min="9218" max="9218" width="38" style="107" customWidth="1"/>
    <col min="9219" max="9222" width="11.42578125" style="107"/>
    <col min="9223" max="9223" width="12.5703125" style="107" bestFit="1" customWidth="1"/>
    <col min="9224" max="9472" width="11.42578125" style="107"/>
    <col min="9473" max="9473" width="3.5703125" style="107" customWidth="1"/>
    <col min="9474" max="9474" width="38" style="107" customWidth="1"/>
    <col min="9475" max="9478" width="11.42578125" style="107"/>
    <col min="9479" max="9479" width="12.5703125" style="107" bestFit="1" customWidth="1"/>
    <col min="9480" max="9728" width="11.42578125" style="107"/>
    <col min="9729" max="9729" width="3.5703125" style="107" customWidth="1"/>
    <col min="9730" max="9730" width="38" style="107" customWidth="1"/>
    <col min="9731" max="9734" width="11.42578125" style="107"/>
    <col min="9735" max="9735" width="12.5703125" style="107" bestFit="1" customWidth="1"/>
    <col min="9736" max="9984" width="11.42578125" style="107"/>
    <col min="9985" max="9985" width="3.5703125" style="107" customWidth="1"/>
    <col min="9986" max="9986" width="38" style="107" customWidth="1"/>
    <col min="9987" max="9990" width="11.42578125" style="107"/>
    <col min="9991" max="9991" width="12.5703125" style="107" bestFit="1" customWidth="1"/>
    <col min="9992" max="10240" width="11.42578125" style="107"/>
    <col min="10241" max="10241" width="3.5703125" style="107" customWidth="1"/>
    <col min="10242" max="10242" width="38" style="107" customWidth="1"/>
    <col min="10243" max="10246" width="11.42578125" style="107"/>
    <col min="10247" max="10247" width="12.5703125" style="107" bestFit="1" customWidth="1"/>
    <col min="10248" max="10496" width="11.42578125" style="107"/>
    <col min="10497" max="10497" width="3.5703125" style="107" customWidth="1"/>
    <col min="10498" max="10498" width="38" style="107" customWidth="1"/>
    <col min="10499" max="10502" width="11.42578125" style="107"/>
    <col min="10503" max="10503" width="12.5703125" style="107" bestFit="1" customWidth="1"/>
    <col min="10504" max="10752" width="11.42578125" style="107"/>
    <col min="10753" max="10753" width="3.5703125" style="107" customWidth="1"/>
    <col min="10754" max="10754" width="38" style="107" customWidth="1"/>
    <col min="10755" max="10758" width="11.42578125" style="107"/>
    <col min="10759" max="10759" width="12.5703125" style="107" bestFit="1" customWidth="1"/>
    <col min="10760" max="11008" width="11.42578125" style="107"/>
    <col min="11009" max="11009" width="3.5703125" style="107" customWidth="1"/>
    <col min="11010" max="11010" width="38" style="107" customWidth="1"/>
    <col min="11011" max="11014" width="11.42578125" style="107"/>
    <col min="11015" max="11015" width="12.5703125" style="107" bestFit="1" customWidth="1"/>
    <col min="11016" max="11264" width="11.42578125" style="107"/>
    <col min="11265" max="11265" width="3.5703125" style="107" customWidth="1"/>
    <col min="11266" max="11266" width="38" style="107" customWidth="1"/>
    <col min="11267" max="11270" width="11.42578125" style="107"/>
    <col min="11271" max="11271" width="12.5703125" style="107" bestFit="1" customWidth="1"/>
    <col min="11272" max="11520" width="11.42578125" style="107"/>
    <col min="11521" max="11521" width="3.5703125" style="107" customWidth="1"/>
    <col min="11522" max="11522" width="38" style="107" customWidth="1"/>
    <col min="11523" max="11526" width="11.42578125" style="107"/>
    <col min="11527" max="11527" width="12.5703125" style="107" bestFit="1" customWidth="1"/>
    <col min="11528" max="11776" width="11.42578125" style="107"/>
    <col min="11777" max="11777" width="3.5703125" style="107" customWidth="1"/>
    <col min="11778" max="11778" width="38" style="107" customWidth="1"/>
    <col min="11779" max="11782" width="11.42578125" style="107"/>
    <col min="11783" max="11783" width="12.5703125" style="107" bestFit="1" customWidth="1"/>
    <col min="11784" max="12032" width="11.42578125" style="107"/>
    <col min="12033" max="12033" width="3.5703125" style="107" customWidth="1"/>
    <col min="12034" max="12034" width="38" style="107" customWidth="1"/>
    <col min="12035" max="12038" width="11.42578125" style="107"/>
    <col min="12039" max="12039" width="12.5703125" style="107" bestFit="1" customWidth="1"/>
    <col min="12040" max="12288" width="11.42578125" style="107"/>
    <col min="12289" max="12289" width="3.5703125" style="107" customWidth="1"/>
    <col min="12290" max="12290" width="38" style="107" customWidth="1"/>
    <col min="12291" max="12294" width="11.42578125" style="107"/>
    <col min="12295" max="12295" width="12.5703125" style="107" bestFit="1" customWidth="1"/>
    <col min="12296" max="12544" width="11.42578125" style="107"/>
    <col min="12545" max="12545" width="3.5703125" style="107" customWidth="1"/>
    <col min="12546" max="12546" width="38" style="107" customWidth="1"/>
    <col min="12547" max="12550" width="11.42578125" style="107"/>
    <col min="12551" max="12551" width="12.5703125" style="107" bestFit="1" customWidth="1"/>
    <col min="12552" max="12800" width="11.42578125" style="107"/>
    <col min="12801" max="12801" width="3.5703125" style="107" customWidth="1"/>
    <col min="12802" max="12802" width="38" style="107" customWidth="1"/>
    <col min="12803" max="12806" width="11.42578125" style="107"/>
    <col min="12807" max="12807" width="12.5703125" style="107" bestFit="1" customWidth="1"/>
    <col min="12808" max="13056" width="11.42578125" style="107"/>
    <col min="13057" max="13057" width="3.5703125" style="107" customWidth="1"/>
    <col min="13058" max="13058" width="38" style="107" customWidth="1"/>
    <col min="13059" max="13062" width="11.42578125" style="107"/>
    <col min="13063" max="13063" width="12.5703125" style="107" bestFit="1" customWidth="1"/>
    <col min="13064" max="13312" width="11.42578125" style="107"/>
    <col min="13313" max="13313" width="3.5703125" style="107" customWidth="1"/>
    <col min="13314" max="13314" width="38" style="107" customWidth="1"/>
    <col min="13315" max="13318" width="11.42578125" style="107"/>
    <col min="13319" max="13319" width="12.5703125" style="107" bestFit="1" customWidth="1"/>
    <col min="13320" max="13568" width="11.42578125" style="107"/>
    <col min="13569" max="13569" width="3.5703125" style="107" customWidth="1"/>
    <col min="13570" max="13570" width="38" style="107" customWidth="1"/>
    <col min="13571" max="13574" width="11.42578125" style="107"/>
    <col min="13575" max="13575" width="12.5703125" style="107" bestFit="1" customWidth="1"/>
    <col min="13576" max="13824" width="11.42578125" style="107"/>
    <col min="13825" max="13825" width="3.5703125" style="107" customWidth="1"/>
    <col min="13826" max="13826" width="38" style="107" customWidth="1"/>
    <col min="13827" max="13830" width="11.42578125" style="107"/>
    <col min="13831" max="13831" width="12.5703125" style="107" bestFit="1" customWidth="1"/>
    <col min="13832" max="14080" width="11.42578125" style="107"/>
    <col min="14081" max="14081" width="3.5703125" style="107" customWidth="1"/>
    <col min="14082" max="14082" width="38" style="107" customWidth="1"/>
    <col min="14083" max="14086" width="11.42578125" style="107"/>
    <col min="14087" max="14087" width="12.5703125" style="107" bestFit="1" customWidth="1"/>
    <col min="14088" max="14336" width="11.42578125" style="107"/>
    <col min="14337" max="14337" width="3.5703125" style="107" customWidth="1"/>
    <col min="14338" max="14338" width="38" style="107" customWidth="1"/>
    <col min="14339" max="14342" width="11.42578125" style="107"/>
    <col min="14343" max="14343" width="12.5703125" style="107" bestFit="1" customWidth="1"/>
    <col min="14344" max="14592" width="11.42578125" style="107"/>
    <col min="14593" max="14593" width="3.5703125" style="107" customWidth="1"/>
    <col min="14594" max="14594" width="38" style="107" customWidth="1"/>
    <col min="14595" max="14598" width="11.42578125" style="107"/>
    <col min="14599" max="14599" width="12.5703125" style="107" bestFit="1" customWidth="1"/>
    <col min="14600" max="14848" width="11.42578125" style="107"/>
    <col min="14849" max="14849" width="3.5703125" style="107" customWidth="1"/>
    <col min="14850" max="14850" width="38" style="107" customWidth="1"/>
    <col min="14851" max="14854" width="11.42578125" style="107"/>
    <col min="14855" max="14855" width="12.5703125" style="107" bestFit="1" customWidth="1"/>
    <col min="14856" max="15104" width="11.42578125" style="107"/>
    <col min="15105" max="15105" width="3.5703125" style="107" customWidth="1"/>
    <col min="15106" max="15106" width="38" style="107" customWidth="1"/>
    <col min="15107" max="15110" width="11.42578125" style="107"/>
    <col min="15111" max="15111" width="12.5703125" style="107" bestFit="1" customWidth="1"/>
    <col min="15112" max="15360" width="11.42578125" style="107"/>
    <col min="15361" max="15361" width="3.5703125" style="107" customWidth="1"/>
    <col min="15362" max="15362" width="38" style="107" customWidth="1"/>
    <col min="15363" max="15366" width="11.42578125" style="107"/>
    <col min="15367" max="15367" width="12.5703125" style="107" bestFit="1" customWidth="1"/>
    <col min="15368" max="15616" width="11.42578125" style="107"/>
    <col min="15617" max="15617" width="3.5703125" style="107" customWidth="1"/>
    <col min="15618" max="15618" width="38" style="107" customWidth="1"/>
    <col min="15619" max="15622" width="11.42578125" style="107"/>
    <col min="15623" max="15623" width="12.5703125" style="107" bestFit="1" customWidth="1"/>
    <col min="15624" max="15872" width="11.42578125" style="107"/>
    <col min="15873" max="15873" width="3.5703125" style="107" customWidth="1"/>
    <col min="15874" max="15874" width="38" style="107" customWidth="1"/>
    <col min="15875" max="15878" width="11.42578125" style="107"/>
    <col min="15879" max="15879" width="12.5703125" style="107" bestFit="1" customWidth="1"/>
    <col min="15880" max="16128" width="11.42578125" style="107"/>
    <col min="16129" max="16129" width="3.5703125" style="107" customWidth="1"/>
    <col min="16130" max="16130" width="38" style="107" customWidth="1"/>
    <col min="16131" max="16134" width="11.42578125" style="107"/>
    <col min="16135" max="16135" width="12.5703125" style="107" bestFit="1" customWidth="1"/>
    <col min="16136" max="16384" width="11.42578125" style="107"/>
  </cols>
  <sheetData>
    <row r="2" spans="2:9" ht="17.25" customHeight="1" x14ac:dyDescent="0.2">
      <c r="B2" s="106" t="s">
        <v>50</v>
      </c>
      <c r="F2" s="108"/>
      <c r="G2" s="109"/>
    </row>
    <row r="3" spans="2:9" x14ac:dyDescent="0.2">
      <c r="G3" s="203" t="s">
        <v>44</v>
      </c>
      <c r="H3" s="203"/>
    </row>
    <row r="4" spans="2:9" ht="15" x14ac:dyDescent="0.25">
      <c r="B4" s="112" t="s">
        <v>43</v>
      </c>
      <c r="C4" s="113">
        <v>44825</v>
      </c>
      <c r="D4" s="113"/>
      <c r="F4" s="108"/>
      <c r="G4" s="114" t="s">
        <v>10</v>
      </c>
      <c r="H4" s="115">
        <f>AVERAGE(H5:H63)</f>
        <v>0.68737288135593222</v>
      </c>
    </row>
    <row r="5" spans="2:9" ht="15" x14ac:dyDescent="0.2">
      <c r="B5" s="112" t="s">
        <v>55</v>
      </c>
      <c r="C5" s="117">
        <f>+'[1]RdC ON X Clase XX'!C5</f>
        <v>44915</v>
      </c>
      <c r="D5" s="118"/>
      <c r="F5" s="118"/>
      <c r="G5" s="119">
        <v>44816</v>
      </c>
      <c r="H5" s="120">
        <v>0.64187499999999997</v>
      </c>
      <c r="I5" s="113"/>
    </row>
    <row r="6" spans="2:9" ht="15" x14ac:dyDescent="0.2">
      <c r="B6" s="112" t="s">
        <v>44</v>
      </c>
      <c r="C6" s="124">
        <f>+H4</f>
        <v>0.68737288135593222</v>
      </c>
      <c r="D6" s="125"/>
      <c r="F6" s="118"/>
      <c r="G6" s="119">
        <v>44817</v>
      </c>
      <c r="H6" s="120">
        <v>0.63937500000000003</v>
      </c>
      <c r="I6" s="113"/>
    </row>
    <row r="7" spans="2:9" ht="15" x14ac:dyDescent="0.2">
      <c r="B7" s="112" t="s">
        <v>53</v>
      </c>
      <c r="C7" s="126">
        <v>5.9700000000000003E-2</v>
      </c>
      <c r="F7" s="118"/>
      <c r="G7" s="119">
        <v>44818</v>
      </c>
      <c r="H7" s="120">
        <v>0.63875000000000004</v>
      </c>
      <c r="I7" s="113"/>
    </row>
    <row r="8" spans="2:9" ht="15" x14ac:dyDescent="0.2">
      <c r="B8" s="108" t="s">
        <v>54</v>
      </c>
      <c r="C8" s="126">
        <f>+C7+C6</f>
        <v>0.74707288135593219</v>
      </c>
      <c r="F8" s="118"/>
      <c r="G8" s="119">
        <v>44819</v>
      </c>
      <c r="H8" s="120">
        <v>0.640625</v>
      </c>
      <c r="I8" s="113"/>
    </row>
    <row r="9" spans="2:9" ht="15" x14ac:dyDescent="0.2">
      <c r="B9" s="108" t="s">
        <v>45</v>
      </c>
      <c r="C9" s="107">
        <v>100</v>
      </c>
      <c r="F9" s="118"/>
      <c r="G9" s="119">
        <v>44820</v>
      </c>
      <c r="H9" s="120">
        <v>0.68187500000000001</v>
      </c>
      <c r="I9" s="113"/>
    </row>
    <row r="10" spans="2:9" ht="15" x14ac:dyDescent="0.2">
      <c r="B10" s="112" t="s">
        <v>14</v>
      </c>
      <c r="C10" s="127">
        <v>0.5</v>
      </c>
      <c r="F10" s="118"/>
      <c r="G10" s="119">
        <v>44823</v>
      </c>
      <c r="H10" s="120">
        <v>0.68687500000000001</v>
      </c>
      <c r="I10" s="113"/>
    </row>
    <row r="11" spans="2:9" ht="15" x14ac:dyDescent="0.2">
      <c r="B11" s="112" t="s">
        <v>46</v>
      </c>
      <c r="C11" s="128">
        <f>+(C9*C10)*C8/365*(C5-C4)</f>
        <v>9.2104875783608069</v>
      </c>
      <c r="F11" s="118"/>
      <c r="G11" s="129">
        <v>44824</v>
      </c>
      <c r="H11" s="130">
        <v>0.68687500000000001</v>
      </c>
      <c r="I11" s="113"/>
    </row>
    <row r="12" spans="2:9" ht="15" x14ac:dyDescent="0.2">
      <c r="B12" s="112" t="s">
        <v>47</v>
      </c>
      <c r="C12" s="131">
        <f>+((C10*C9)+C11)/C9</f>
        <v>0.59210487578360804</v>
      </c>
      <c r="E12" s="110"/>
      <c r="F12" s="118"/>
      <c r="G12" s="119">
        <v>44825</v>
      </c>
      <c r="H12" s="120">
        <v>0.69687500000000002</v>
      </c>
      <c r="I12" s="113"/>
    </row>
    <row r="13" spans="2:9" ht="15" x14ac:dyDescent="0.2">
      <c r="B13" s="112" t="s">
        <v>48</v>
      </c>
      <c r="C13" s="132">
        <f>+[1]Resumen!J8</f>
        <v>1.2E-2</v>
      </c>
      <c r="D13" s="133"/>
      <c r="F13" s="118"/>
      <c r="G13" s="119">
        <v>44826</v>
      </c>
      <c r="H13" s="120">
        <v>0.68625000000000003</v>
      </c>
      <c r="I13" s="113"/>
    </row>
    <row r="14" spans="2:9" ht="15" x14ac:dyDescent="0.2">
      <c r="B14" s="112" t="s">
        <v>49</v>
      </c>
      <c r="C14" s="134">
        <f>+C12+(C12*C13)</f>
        <v>0.59921013429301129</v>
      </c>
      <c r="D14" s="135"/>
      <c r="F14" s="118"/>
      <c r="G14" s="119">
        <v>44827</v>
      </c>
      <c r="H14" s="120">
        <v>0.6875</v>
      </c>
      <c r="I14" s="113"/>
    </row>
    <row r="15" spans="2:9" ht="15" x14ac:dyDescent="0.2">
      <c r="C15" s="128"/>
      <c r="F15" s="118"/>
      <c r="G15" s="119">
        <v>44830</v>
      </c>
      <c r="H15" s="120">
        <v>0.6925</v>
      </c>
      <c r="I15" s="113"/>
    </row>
    <row r="16" spans="2:9" ht="15" x14ac:dyDescent="0.2">
      <c r="C16" s="136"/>
      <c r="F16" s="118"/>
      <c r="G16" s="119">
        <v>44831</v>
      </c>
      <c r="H16" s="120">
        <v>0.6825</v>
      </c>
      <c r="I16" s="113"/>
    </row>
    <row r="17" spans="6:9" ht="15" x14ac:dyDescent="0.25">
      <c r="F17" s="118"/>
      <c r="G17" s="129">
        <v>44832</v>
      </c>
      <c r="H17" s="137">
        <v>0.69</v>
      </c>
      <c r="I17" s="113"/>
    </row>
    <row r="18" spans="6:9" ht="15" x14ac:dyDescent="0.25">
      <c r="F18" s="118"/>
      <c r="G18" s="129">
        <v>44833</v>
      </c>
      <c r="H18" s="137">
        <v>0.69125000000000003</v>
      </c>
      <c r="I18" s="113"/>
    </row>
    <row r="19" spans="6:9" ht="15" x14ac:dyDescent="0.25">
      <c r="F19" s="118"/>
      <c r="G19" s="129">
        <v>44834</v>
      </c>
      <c r="H19" s="137">
        <v>0.69125000000000003</v>
      </c>
      <c r="I19" s="113"/>
    </row>
    <row r="20" spans="6:9" ht="15" x14ac:dyDescent="0.25">
      <c r="F20" s="118"/>
      <c r="G20" s="129">
        <v>44837</v>
      </c>
      <c r="H20" s="137">
        <v>0.698125</v>
      </c>
      <c r="I20" s="113"/>
    </row>
    <row r="21" spans="6:9" ht="15" x14ac:dyDescent="0.25">
      <c r="F21" s="118"/>
      <c r="G21" s="129">
        <v>44838</v>
      </c>
      <c r="H21" s="137">
        <v>0.6875</v>
      </c>
      <c r="I21" s="113"/>
    </row>
    <row r="22" spans="6:9" ht="15" x14ac:dyDescent="0.25">
      <c r="F22" s="118"/>
      <c r="G22" s="129">
        <v>44839</v>
      </c>
      <c r="H22" s="137">
        <v>0.69499999999999995</v>
      </c>
      <c r="I22" s="113"/>
    </row>
    <row r="23" spans="6:9" ht="15" x14ac:dyDescent="0.25">
      <c r="F23" s="118"/>
      <c r="G23" s="129">
        <v>44840</v>
      </c>
      <c r="H23" s="137">
        <v>0.68625000000000003</v>
      </c>
      <c r="I23" s="113"/>
    </row>
    <row r="24" spans="6:9" ht="15" x14ac:dyDescent="0.25">
      <c r="F24" s="118"/>
      <c r="G24" s="129">
        <v>44845</v>
      </c>
      <c r="H24" s="137">
        <v>0.698125</v>
      </c>
      <c r="I24" s="113"/>
    </row>
    <row r="25" spans="6:9" ht="15" x14ac:dyDescent="0.25">
      <c r="F25" s="118"/>
      <c r="G25" s="129">
        <v>44846</v>
      </c>
      <c r="H25" s="137">
        <v>0.69562500000000005</v>
      </c>
      <c r="I25" s="113"/>
    </row>
    <row r="26" spans="6:9" ht="15" x14ac:dyDescent="0.25">
      <c r="F26" s="118"/>
      <c r="G26" s="129">
        <v>44847</v>
      </c>
      <c r="H26" s="137">
        <v>0.69374999999999998</v>
      </c>
      <c r="I26" s="113"/>
    </row>
    <row r="27" spans="6:9" ht="15" x14ac:dyDescent="0.25">
      <c r="F27" s="118"/>
      <c r="G27" s="129">
        <v>44848</v>
      </c>
      <c r="H27" s="137">
        <v>0.6875</v>
      </c>
      <c r="I27" s="113"/>
    </row>
    <row r="28" spans="6:9" ht="15" x14ac:dyDescent="0.25">
      <c r="F28" s="118"/>
      <c r="G28" s="129">
        <v>44851</v>
      </c>
      <c r="H28" s="137">
        <v>0.69437499999999996</v>
      </c>
      <c r="I28" s="113"/>
    </row>
    <row r="29" spans="6:9" ht="15" x14ac:dyDescent="0.25">
      <c r="F29" s="118"/>
      <c r="G29" s="129">
        <v>44852</v>
      </c>
      <c r="H29" s="137">
        <v>0.6825</v>
      </c>
      <c r="I29" s="113"/>
    </row>
    <row r="30" spans="6:9" ht="15" x14ac:dyDescent="0.25">
      <c r="F30" s="118"/>
      <c r="G30" s="129">
        <v>44853</v>
      </c>
      <c r="H30" s="137">
        <v>0.68687500000000001</v>
      </c>
      <c r="I30" s="113"/>
    </row>
    <row r="31" spans="6:9" ht="15" x14ac:dyDescent="0.25">
      <c r="F31" s="118"/>
      <c r="G31" s="129">
        <v>44854</v>
      </c>
      <c r="H31" s="137">
        <v>0.68625000000000003</v>
      </c>
      <c r="I31" s="113"/>
    </row>
    <row r="32" spans="6:9" ht="15" x14ac:dyDescent="0.25">
      <c r="F32" s="118"/>
      <c r="G32" s="129">
        <v>44855</v>
      </c>
      <c r="H32" s="137">
        <v>0.69125000000000003</v>
      </c>
      <c r="I32" s="113"/>
    </row>
    <row r="33" spans="6:9" ht="15" x14ac:dyDescent="0.25">
      <c r="F33" s="118"/>
      <c r="G33" s="129">
        <v>44858</v>
      </c>
      <c r="H33" s="137">
        <v>0.69125000000000003</v>
      </c>
      <c r="I33" s="113"/>
    </row>
    <row r="34" spans="6:9" ht="15" x14ac:dyDescent="0.25">
      <c r="F34" s="118"/>
      <c r="G34" s="129">
        <v>44859</v>
      </c>
      <c r="H34" s="137">
        <v>0.6825</v>
      </c>
      <c r="I34" s="113"/>
    </row>
    <row r="35" spans="6:9" ht="15" x14ac:dyDescent="0.25">
      <c r="F35" s="118"/>
      <c r="G35" s="129">
        <v>44860</v>
      </c>
      <c r="H35" s="137">
        <v>0.6925</v>
      </c>
      <c r="I35" s="113"/>
    </row>
    <row r="36" spans="6:9" ht="15" x14ac:dyDescent="0.25">
      <c r="F36" s="118"/>
      <c r="G36" s="129">
        <v>44861</v>
      </c>
      <c r="H36" s="137">
        <v>0.68937499999999996</v>
      </c>
      <c r="I36" s="113"/>
    </row>
    <row r="37" spans="6:9" ht="15" x14ac:dyDescent="0.25">
      <c r="F37" s="118"/>
      <c r="G37" s="129">
        <v>44862</v>
      </c>
      <c r="H37" s="137">
        <v>0.68812499999999999</v>
      </c>
      <c r="I37" s="113"/>
    </row>
    <row r="38" spans="6:9" ht="15" x14ac:dyDescent="0.25">
      <c r="F38" s="118"/>
      <c r="G38" s="129">
        <v>44865</v>
      </c>
      <c r="H38" s="137">
        <v>0.69499999999999995</v>
      </c>
      <c r="I38" s="113"/>
    </row>
    <row r="39" spans="6:9" ht="15" x14ac:dyDescent="0.25">
      <c r="F39" s="118"/>
      <c r="G39" s="129">
        <v>44866</v>
      </c>
      <c r="H39" s="137">
        <v>0.69125000000000003</v>
      </c>
      <c r="I39" s="113"/>
    </row>
    <row r="40" spans="6:9" ht="15" x14ac:dyDescent="0.25">
      <c r="F40" s="118"/>
      <c r="G40" s="129">
        <v>44867</v>
      </c>
      <c r="H40" s="137">
        <v>0.698125</v>
      </c>
      <c r="I40" s="113"/>
    </row>
    <row r="41" spans="6:9" ht="15" x14ac:dyDescent="0.25">
      <c r="F41" s="118"/>
      <c r="G41" s="129">
        <v>44868</v>
      </c>
      <c r="H41" s="137">
        <v>0.6875</v>
      </c>
      <c r="I41" s="113"/>
    </row>
    <row r="42" spans="6:9" ht="15" x14ac:dyDescent="0.25">
      <c r="F42" s="118"/>
      <c r="G42" s="129">
        <v>44869</v>
      </c>
      <c r="H42" s="137">
        <v>0.69625000000000004</v>
      </c>
      <c r="I42" s="113"/>
    </row>
    <row r="43" spans="6:9" ht="15" x14ac:dyDescent="0.25">
      <c r="F43" s="118"/>
      <c r="G43" s="129">
        <v>44872</v>
      </c>
      <c r="H43" s="137">
        <v>0.69437499999999996</v>
      </c>
      <c r="I43" s="113"/>
    </row>
    <row r="44" spans="6:9" ht="15" x14ac:dyDescent="0.25">
      <c r="F44" s="118"/>
      <c r="G44" s="129">
        <v>44873</v>
      </c>
      <c r="H44" s="137">
        <v>0.69062500000000004</v>
      </c>
      <c r="I44" s="113"/>
    </row>
    <row r="45" spans="6:9" ht="15" x14ac:dyDescent="0.25">
      <c r="F45" s="118"/>
      <c r="G45" s="129">
        <v>44874</v>
      </c>
      <c r="H45" s="137">
        <v>0.68437499999999996</v>
      </c>
      <c r="I45" s="113"/>
    </row>
    <row r="46" spans="6:9" ht="15" x14ac:dyDescent="0.25">
      <c r="F46" s="118"/>
      <c r="G46" s="129">
        <v>44875</v>
      </c>
      <c r="H46" s="137">
        <v>0.70125000000000004</v>
      </c>
      <c r="I46" s="113"/>
    </row>
    <row r="47" spans="6:9" ht="15" x14ac:dyDescent="0.25">
      <c r="F47" s="118"/>
      <c r="G47" s="129">
        <v>44876</v>
      </c>
      <c r="H47" s="137">
        <v>0.7</v>
      </c>
      <c r="I47" s="113"/>
    </row>
    <row r="48" spans="6:9" ht="15" x14ac:dyDescent="0.25">
      <c r="F48" s="118"/>
      <c r="G48" s="129">
        <v>44879</v>
      </c>
      <c r="H48" s="137">
        <v>0.69687500000000002</v>
      </c>
      <c r="I48" s="113"/>
    </row>
    <row r="49" spans="6:9" ht="15" x14ac:dyDescent="0.25">
      <c r="F49" s="118"/>
      <c r="G49" s="129">
        <v>44880</v>
      </c>
      <c r="H49" s="137">
        <v>0.68625000000000003</v>
      </c>
      <c r="I49" s="113"/>
    </row>
    <row r="50" spans="6:9" ht="15" x14ac:dyDescent="0.25">
      <c r="F50" s="118"/>
      <c r="G50" s="129">
        <v>44881</v>
      </c>
      <c r="H50" s="137">
        <v>0.6925</v>
      </c>
      <c r="I50" s="113"/>
    </row>
    <row r="51" spans="6:9" ht="15" x14ac:dyDescent="0.25">
      <c r="F51" s="118"/>
      <c r="G51" s="129">
        <v>44882</v>
      </c>
      <c r="H51" s="137">
        <v>0.68687500000000001</v>
      </c>
      <c r="I51" s="113"/>
    </row>
    <row r="52" spans="6:9" ht="15" x14ac:dyDescent="0.25">
      <c r="F52" s="118"/>
      <c r="G52" s="129">
        <v>44883</v>
      </c>
      <c r="H52" s="137">
        <v>0.68562500000000004</v>
      </c>
      <c r="I52" s="113"/>
    </row>
    <row r="53" spans="6:9" ht="15" x14ac:dyDescent="0.25">
      <c r="F53" s="118"/>
      <c r="G53" s="129">
        <v>44887</v>
      </c>
      <c r="H53" s="137">
        <v>0.69625000000000004</v>
      </c>
      <c r="I53" s="113"/>
    </row>
    <row r="54" spans="6:9" ht="15" x14ac:dyDescent="0.25">
      <c r="F54" s="118"/>
      <c r="G54" s="129">
        <v>44888</v>
      </c>
      <c r="H54" s="137">
        <v>0.6925</v>
      </c>
      <c r="I54" s="113"/>
    </row>
    <row r="55" spans="6:9" ht="15" x14ac:dyDescent="0.25">
      <c r="F55" s="118"/>
      <c r="G55" s="129">
        <v>44889</v>
      </c>
      <c r="H55" s="137">
        <v>0.68374999999999997</v>
      </c>
      <c r="I55" s="113"/>
    </row>
    <row r="56" spans="6:9" ht="15" x14ac:dyDescent="0.25">
      <c r="F56" s="118"/>
      <c r="G56" s="129">
        <v>44890</v>
      </c>
      <c r="H56" s="137">
        <v>0.69187500000000002</v>
      </c>
      <c r="I56" s="113"/>
    </row>
    <row r="57" spans="6:9" ht="15" x14ac:dyDescent="0.25">
      <c r="F57" s="118"/>
      <c r="G57" s="129">
        <v>44893</v>
      </c>
      <c r="H57" s="137">
        <v>0.69312499999999999</v>
      </c>
      <c r="I57" s="113"/>
    </row>
    <row r="58" spans="6:9" ht="15" x14ac:dyDescent="0.25">
      <c r="F58" s="118"/>
      <c r="G58" s="129">
        <v>44894</v>
      </c>
      <c r="H58" s="137">
        <v>0.68312499999999998</v>
      </c>
      <c r="I58" s="113"/>
    </row>
    <row r="59" spans="6:9" ht="15" x14ac:dyDescent="0.25">
      <c r="G59" s="129">
        <v>44895</v>
      </c>
      <c r="H59" s="137">
        <v>0.69499999999999995</v>
      </c>
    </row>
    <row r="60" spans="6:9" ht="15" x14ac:dyDescent="0.25">
      <c r="G60" s="129">
        <v>44896</v>
      </c>
      <c r="H60" s="137">
        <v>0.69062500000000004</v>
      </c>
    </row>
    <row r="61" spans="6:9" ht="15" x14ac:dyDescent="0.25">
      <c r="G61" s="129">
        <v>44897</v>
      </c>
      <c r="H61" s="137">
        <v>0.69</v>
      </c>
    </row>
    <row r="62" spans="6:9" ht="15" x14ac:dyDescent="0.25">
      <c r="G62" s="129">
        <v>44900</v>
      </c>
      <c r="H62" s="137">
        <v>0.69937499999999997</v>
      </c>
    </row>
    <row r="63" spans="6:9" ht="15" x14ac:dyDescent="0.25">
      <c r="G63" s="129">
        <v>44901</v>
      </c>
      <c r="H63" s="137">
        <v>0.69125000000000003</v>
      </c>
    </row>
  </sheetData>
  <mergeCells count="1">
    <mergeCell ref="G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XX (ARS)</vt:lpstr>
      <vt:lpstr>XX (ARS) Canje</vt:lpstr>
      <vt:lpstr>XXI (ARS)</vt:lpstr>
      <vt:lpstr>XXI (ARS) Canje</vt:lpstr>
      <vt:lpstr>RdC ON X Clase XX</vt:lpstr>
      <vt:lpstr>RdC ON X Clase XXI</vt:lpstr>
      <vt:lpstr>Feriados</vt:lpstr>
      <vt:lpstr>Hoja2</vt:lpstr>
      <vt:lpstr>'XX (ARS)'!Área_de_impresión</vt:lpstr>
      <vt:lpstr>'XX (ARS) Canje'!Área_de_impresión</vt:lpstr>
      <vt:lpstr>'XXI (ARS)'!Área_de_impresión</vt:lpstr>
      <vt:lpstr>'XXI (ARS) Canje'!Área_de_impresión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2022-12-16T15:39:01Z</dcterms:modified>
</cp:coreProperties>
</file>