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JEWELL AGRONEGOCIOS\Difusión\"/>
    </mc:Choice>
  </mc:AlternateContent>
  <bookViews>
    <workbookView xWindow="0" yWindow="0" windowWidth="25200" windowHeight="11490"/>
  </bookViews>
  <sheets>
    <sheet name="CLASE I" sheetId="12" r:id="rId1"/>
    <sheet name="CLASE II" sheetId="10" r:id="rId2"/>
    <sheet name="Feriados" sheetId="5" state="hidden" r:id="rId3"/>
    <sheet name="Hoja2" sheetId="7" state="hidden" r:id="rId4"/>
  </sheets>
  <definedNames>
    <definedName name="_xlnm.Print_Area" localSheetId="0">'CLASE I'!$D$1:$P$50</definedName>
    <definedName name="_xlnm.Print_Area" localSheetId="1">'CLASE II'!$D$1:$P$50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2" l="1"/>
  <c r="O38" i="12"/>
  <c r="I38" i="12" s="1"/>
  <c r="O33" i="12"/>
  <c r="I33" i="12" s="1"/>
  <c r="O34" i="12"/>
  <c r="I34" i="12" s="1"/>
  <c r="O35" i="12"/>
  <c r="O36" i="12"/>
  <c r="I36" i="12" s="1"/>
  <c r="O37" i="12"/>
  <c r="I37" i="12" s="1"/>
  <c r="O32" i="12"/>
  <c r="I32" i="12" s="1"/>
  <c r="I35" i="12"/>
  <c r="I31" i="12"/>
  <c r="K40" i="12" l="1"/>
  <c r="Q39" i="12"/>
  <c r="C38" i="12"/>
  <c r="C37" i="12"/>
  <c r="C36" i="12"/>
  <c r="C35" i="12"/>
  <c r="C34" i="12"/>
  <c r="C33" i="12"/>
  <c r="C32" i="12"/>
  <c r="L31" i="12"/>
  <c r="L32" i="12" s="1"/>
  <c r="L33" i="12" s="1"/>
  <c r="L34" i="12" s="1"/>
  <c r="L35" i="12" s="1"/>
  <c r="L36" i="12" s="1"/>
  <c r="L37" i="12" s="1"/>
  <c r="L38" i="12" s="1"/>
  <c r="Q30" i="12"/>
  <c r="N30" i="12"/>
  <c r="M30" i="12"/>
  <c r="S30" i="12" s="1"/>
  <c r="I30" i="12"/>
  <c r="I29" i="12" s="1"/>
  <c r="E30" i="12"/>
  <c r="F30" i="12" s="1"/>
  <c r="B30" i="12"/>
  <c r="C31" i="12" s="1"/>
  <c r="L29" i="12"/>
  <c r="J24" i="12"/>
  <c r="J23" i="12"/>
  <c r="J22" i="12"/>
  <c r="J21" i="12"/>
  <c r="J20" i="12"/>
  <c r="J19" i="12"/>
  <c r="J18" i="12"/>
  <c r="J17" i="12"/>
  <c r="D30" i="12"/>
  <c r="I19" i="10"/>
  <c r="I20" i="10"/>
  <c r="I21" i="10"/>
  <c r="I22" i="10"/>
  <c r="I23" i="10"/>
  <c r="J19" i="10"/>
  <c r="J20" i="10"/>
  <c r="J21" i="10"/>
  <c r="J22" i="10"/>
  <c r="I33" i="10"/>
  <c r="I34" i="10"/>
  <c r="I35" i="10"/>
  <c r="I36" i="10"/>
  <c r="I37" i="10"/>
  <c r="I38" i="10"/>
  <c r="C33" i="10"/>
  <c r="C34" i="10"/>
  <c r="C35" i="10"/>
  <c r="C36" i="10"/>
  <c r="C37" i="10"/>
  <c r="C38" i="10"/>
  <c r="J25" i="12" l="1"/>
  <c r="E31" i="12"/>
  <c r="G31" i="12" l="1"/>
  <c r="J31" i="12" s="1"/>
  <c r="K17" i="12" s="1"/>
  <c r="E32" i="12"/>
  <c r="F31" i="12"/>
  <c r="L17" i="12" l="1"/>
  <c r="M31" i="12"/>
  <c r="N31" i="12" s="1"/>
  <c r="H31" i="12"/>
  <c r="Q31" i="12" s="1"/>
  <c r="D31" i="12"/>
  <c r="I17" i="12"/>
  <c r="E33" i="12"/>
  <c r="G32" i="12"/>
  <c r="J32" i="12" s="1"/>
  <c r="K18" i="12" s="1"/>
  <c r="L18" i="12" s="1"/>
  <c r="F32" i="12"/>
  <c r="G33" i="12" l="1"/>
  <c r="J33" i="12" s="1"/>
  <c r="K19" i="12" s="1"/>
  <c r="E34" i="12"/>
  <c r="F33" i="12"/>
  <c r="S31" i="12"/>
  <c r="M32" i="12"/>
  <c r="N32" i="12" s="1"/>
  <c r="H32" i="12"/>
  <c r="Q32" i="12" s="1"/>
  <c r="D32" i="12"/>
  <c r="I18" i="12"/>
  <c r="L19" i="12" l="1"/>
  <c r="M33" i="12"/>
  <c r="N33" i="12" s="1"/>
  <c r="H33" i="12"/>
  <c r="Q33" i="12" s="1"/>
  <c r="D33" i="12"/>
  <c r="I19" i="12"/>
  <c r="S32" i="12"/>
  <c r="G34" i="12"/>
  <c r="J34" i="12" s="1"/>
  <c r="K20" i="12" s="1"/>
  <c r="L20" i="12" s="1"/>
  <c r="F34" i="12"/>
  <c r="E35" i="12"/>
  <c r="G35" i="12" l="1"/>
  <c r="J35" i="12" s="1"/>
  <c r="K21" i="12" s="1"/>
  <c r="L21" i="12" s="1"/>
  <c r="F35" i="12"/>
  <c r="E36" i="12"/>
  <c r="S33" i="12"/>
  <c r="M34" i="12"/>
  <c r="N34" i="12" s="1"/>
  <c r="H34" i="12"/>
  <c r="Q34" i="12" s="1"/>
  <c r="D34" i="12"/>
  <c r="I20" i="12"/>
  <c r="S34" i="12" l="1"/>
  <c r="M35" i="12"/>
  <c r="N35" i="12" s="1"/>
  <c r="H35" i="12"/>
  <c r="Q35" i="12" s="1"/>
  <c r="D35" i="12"/>
  <c r="I21" i="12"/>
  <c r="G36" i="12"/>
  <c r="J36" i="12" s="1"/>
  <c r="K22" i="12" s="1"/>
  <c r="F36" i="12"/>
  <c r="E37" i="12"/>
  <c r="M36" i="12" l="1"/>
  <c r="N36" i="12" s="1"/>
  <c r="H36" i="12"/>
  <c r="Q36" i="12" s="1"/>
  <c r="D36" i="12"/>
  <c r="I22" i="12"/>
  <c r="S35" i="12"/>
  <c r="L22" i="12"/>
  <c r="G37" i="12"/>
  <c r="J37" i="12" s="1"/>
  <c r="K23" i="12" s="1"/>
  <c r="L23" i="12" s="1"/>
  <c r="F37" i="12"/>
  <c r="E38" i="12"/>
  <c r="G38" i="12" l="1"/>
  <c r="J38" i="12" s="1"/>
  <c r="K24" i="12" s="1"/>
  <c r="F38" i="12"/>
  <c r="M37" i="12"/>
  <c r="N37" i="12" s="1"/>
  <c r="H37" i="12"/>
  <c r="Q37" i="12" s="1"/>
  <c r="D37" i="12"/>
  <c r="I23" i="12"/>
  <c r="S36" i="12"/>
  <c r="M38" i="12" l="1"/>
  <c r="N38" i="12" s="1"/>
  <c r="H38" i="12"/>
  <c r="Q38" i="12" s="1"/>
  <c r="D38" i="12"/>
  <c r="I24" i="12"/>
  <c r="G11" i="12"/>
  <c r="S37" i="12"/>
  <c r="L24" i="12"/>
  <c r="K25" i="12"/>
  <c r="L25" i="12" s="1"/>
  <c r="S38" i="12" l="1"/>
  <c r="K10" i="12" l="1"/>
  <c r="K11" i="12" s="1"/>
  <c r="N40" i="12"/>
  <c r="R39" i="12" l="1"/>
  <c r="R28" i="12"/>
  <c r="R38" i="12"/>
  <c r="T38" i="12" s="1"/>
  <c r="U38" i="12" s="1"/>
  <c r="R37" i="12"/>
  <c r="T37" i="12" s="1"/>
  <c r="U37" i="12" s="1"/>
  <c r="R36" i="12"/>
  <c r="T36" i="12" s="1"/>
  <c r="U36" i="12" s="1"/>
  <c r="R35" i="12"/>
  <c r="T35" i="12" s="1"/>
  <c r="U35" i="12" s="1"/>
  <c r="R34" i="12"/>
  <c r="T34" i="12" s="1"/>
  <c r="U34" i="12" s="1"/>
  <c r="R33" i="12"/>
  <c r="T33" i="12" s="1"/>
  <c r="U33" i="12" s="1"/>
  <c r="R32" i="12"/>
  <c r="T32" i="12" s="1"/>
  <c r="U32" i="12" s="1"/>
  <c r="R31" i="12"/>
  <c r="T31" i="12" s="1"/>
  <c r="R30" i="12"/>
  <c r="T30" i="12" s="1"/>
  <c r="U30" i="12" s="1"/>
  <c r="T40" i="12" l="1"/>
  <c r="U31" i="12"/>
  <c r="U40" i="12" s="1"/>
  <c r="K12" i="12" l="1"/>
  <c r="K40" i="10" l="1"/>
  <c r="I32" i="10" l="1"/>
  <c r="C32" i="10"/>
  <c r="L31" i="10"/>
  <c r="L32" i="10" s="1"/>
  <c r="L33" i="10" s="1"/>
  <c r="L34" i="10" s="1"/>
  <c r="L35" i="10" s="1"/>
  <c r="L36" i="10" s="1"/>
  <c r="I31" i="10"/>
  <c r="Q30" i="10"/>
  <c r="N30" i="10"/>
  <c r="M30" i="10"/>
  <c r="S30" i="10" s="1"/>
  <c r="I30" i="10"/>
  <c r="I29" i="10" s="1"/>
  <c r="E30" i="10"/>
  <c r="F30" i="10" s="1"/>
  <c r="B30" i="10"/>
  <c r="C31" i="10" s="1"/>
  <c r="L29" i="10"/>
  <c r="J24" i="10"/>
  <c r="J23" i="10"/>
  <c r="J18" i="10"/>
  <c r="J17" i="10"/>
  <c r="G14" i="10"/>
  <c r="D30" i="10" s="1"/>
  <c r="J25" i="10" l="1"/>
  <c r="E31" i="10"/>
  <c r="F31" i="10" l="1"/>
  <c r="E32" i="10"/>
  <c r="E33" i="10" s="1"/>
  <c r="G31" i="10"/>
  <c r="J31" i="10" s="1"/>
  <c r="K17" i="10" s="1"/>
  <c r="E34" i="10" l="1"/>
  <c r="F33" i="10"/>
  <c r="G33" i="10"/>
  <c r="J33" i="10" s="1"/>
  <c r="K19" i="10" s="1"/>
  <c r="L19" i="10" s="1"/>
  <c r="L37" i="10"/>
  <c r="F32" i="10"/>
  <c r="G32" i="10"/>
  <c r="J32" i="10" s="1"/>
  <c r="I17" i="10"/>
  <c r="M31" i="10"/>
  <c r="H31" i="10"/>
  <c r="Q31" i="10" s="1"/>
  <c r="D31" i="10"/>
  <c r="H33" i="10" l="1"/>
  <c r="Q33" i="10" s="1"/>
  <c r="D33" i="10"/>
  <c r="M33" i="10"/>
  <c r="E35" i="10"/>
  <c r="F34" i="10"/>
  <c r="G34" i="10"/>
  <c r="J34" i="10" s="1"/>
  <c r="K20" i="10" s="1"/>
  <c r="L20" i="10" s="1"/>
  <c r="L38" i="10"/>
  <c r="K18" i="10"/>
  <c r="L18" i="10" s="1"/>
  <c r="N31" i="10"/>
  <c r="S31" i="10"/>
  <c r="I18" i="10"/>
  <c r="M32" i="10"/>
  <c r="H32" i="10"/>
  <c r="Q32" i="10" s="1"/>
  <c r="D32" i="10"/>
  <c r="E36" i="10" l="1"/>
  <c r="F35" i="10"/>
  <c r="G35" i="10"/>
  <c r="J35" i="10" s="1"/>
  <c r="K21" i="10" s="1"/>
  <c r="L21" i="10" s="1"/>
  <c r="N33" i="10"/>
  <c r="S33" i="10"/>
  <c r="H34" i="10"/>
  <c r="Q34" i="10" s="1"/>
  <c r="D34" i="10"/>
  <c r="M34" i="10"/>
  <c r="N32" i="10"/>
  <c r="S32" i="10"/>
  <c r="H35" i="10" l="1"/>
  <c r="Q35" i="10" s="1"/>
  <c r="M35" i="10"/>
  <c r="D35" i="10"/>
  <c r="E37" i="10"/>
  <c r="F36" i="10"/>
  <c r="G36" i="10"/>
  <c r="J36" i="10" s="1"/>
  <c r="K22" i="10" s="1"/>
  <c r="L22" i="10" s="1"/>
  <c r="N34" i="10"/>
  <c r="S34" i="10"/>
  <c r="H36" i="10" l="1"/>
  <c r="Q36" i="10" s="1"/>
  <c r="M36" i="10"/>
  <c r="D36" i="10"/>
  <c r="S35" i="10"/>
  <c r="N35" i="10"/>
  <c r="E38" i="10"/>
  <c r="G37" i="10"/>
  <c r="J37" i="10" s="1"/>
  <c r="M37" i="10" s="1"/>
  <c r="N37" i="10" s="1"/>
  <c r="F37" i="10"/>
  <c r="K23" i="10" l="1"/>
  <c r="L23" i="10" s="1"/>
  <c r="F38" i="10"/>
  <c r="G38" i="10"/>
  <c r="J38" i="10" s="1"/>
  <c r="M38" i="10" s="1"/>
  <c r="N38" i="10" s="1"/>
  <c r="S36" i="10"/>
  <c r="N36" i="10"/>
  <c r="H37" i="10"/>
  <c r="Q37" i="10" s="1"/>
  <c r="D37" i="10"/>
  <c r="Q39" i="10"/>
  <c r="G11" i="10"/>
  <c r="K24" i="10"/>
  <c r="L24" i="10" s="1"/>
  <c r="S37" i="10"/>
  <c r="I24" i="10"/>
  <c r="H38" i="10" l="1"/>
  <c r="D38" i="10"/>
  <c r="Q38" i="10"/>
  <c r="K10" i="10"/>
  <c r="S38" i="10"/>
  <c r="D2" i="7"/>
  <c r="K11" i="10" l="1"/>
  <c r="R33" i="10"/>
  <c r="T33" i="10" s="1"/>
  <c r="U33" i="10" s="1"/>
  <c r="R36" i="10"/>
  <c r="T36" i="10" s="1"/>
  <c r="U36" i="10" s="1"/>
  <c r="R34" i="10"/>
  <c r="T34" i="10" s="1"/>
  <c r="U34" i="10" s="1"/>
  <c r="R35" i="10"/>
  <c r="T35" i="10" s="1"/>
  <c r="U35" i="10" s="1"/>
  <c r="L17" i="10"/>
  <c r="K25" i="10" l="1"/>
  <c r="L25" i="10" s="1"/>
  <c r="R39" i="10" l="1"/>
  <c r="N40" i="10"/>
  <c r="R38" i="10" l="1"/>
  <c r="T38" i="10" s="1"/>
  <c r="U38" i="10" s="1"/>
  <c r="R32" i="10"/>
  <c r="T32" i="10" s="1"/>
  <c r="U32" i="10" s="1"/>
  <c r="R30" i="10"/>
  <c r="T30" i="10" s="1"/>
  <c r="U30" i="10" s="1"/>
  <c r="R37" i="10"/>
  <c r="T37" i="10" s="1"/>
  <c r="U37" i="10" s="1"/>
  <c r="R28" i="10"/>
  <c r="R31" i="10"/>
  <c r="T31" i="10" s="1"/>
  <c r="U31" i="10" l="1"/>
  <c r="U40" i="10" s="1"/>
  <c r="T40" i="10"/>
  <c r="K12" i="10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O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<sst xmlns="http://schemas.openxmlformats.org/spreadsheetml/2006/main" count="84" uniqueCount="45">
  <si>
    <t>Fecha de Emisión:</t>
  </si>
  <si>
    <t>TIR:</t>
  </si>
  <si>
    <t>Precio clean:</t>
  </si>
  <si>
    <t>Fecha de Vto:</t>
  </si>
  <si>
    <t>Fecha: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</si>
  <si>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</si>
  <si>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</si>
  <si>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</si>
  <si>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</si>
  <si>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</si>
  <si>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</si>
  <si>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</si>
  <si>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</si>
  <si>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</si>
  <si>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</si>
  <si>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</si>
  <si>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</si>
  <si>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</si>
  <si>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</si>
  <si>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</si>
  <si>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</si>
  <si>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</si>
  <si>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</si>
  <si>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Fecha de inicio de calculo</t>
  </si>
  <si>
    <t>Fijo a licitar</t>
  </si>
  <si>
    <t>intereses</t>
  </si>
  <si>
    <t>capital</t>
  </si>
  <si>
    <t>Calificación (Fix):</t>
  </si>
  <si>
    <t>Plazo (meses):</t>
  </si>
  <si>
    <t>Intereses:</t>
  </si>
  <si>
    <t>Cupón:</t>
  </si>
  <si>
    <t>Cupón a licitar:</t>
  </si>
  <si>
    <t>Duration (meses):</t>
  </si>
  <si>
    <t>Moneda:</t>
  </si>
  <si>
    <t>Dólar Linked</t>
  </si>
  <si>
    <t>TC Inicial</t>
  </si>
  <si>
    <t>Días Dev.</t>
  </si>
  <si>
    <t>Trimestrales</t>
  </si>
  <si>
    <t>V/N:</t>
  </si>
  <si>
    <t>ON Pyme CNV Garantizada Agronegocios Jewell Clase II (Dólar Linked 18 meses)</t>
  </si>
  <si>
    <t>s/c</t>
  </si>
  <si>
    <t>ON Pyme CNV Garantizada Agronegocios Jewell Clase I (Badlar 18 meses)</t>
  </si>
  <si>
    <t>Badlar Proyectada</t>
  </si>
  <si>
    <t>Pesos</t>
  </si>
  <si>
    <t>Margen a licitar: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</si>
</sst>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&quot;$&quot;\ #,##0.0000;[Red]\-&quot;$&quot;\ #,##0.0000"/>
    <numFmt numFmtId="175" formatCode="#,##0.00000_ ;[Red]\-#,##0.00000\ 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10" fontId="7" fillId="0" borderId="9" xfId="3" applyNumberFormat="1" applyFont="1" applyBorder="1" applyAlignment="1" applyProtection="1">
      <alignment horizontal="center"/>
    </xf>
    <xf numFmtId="4" fontId="10" fillId="0" borderId="12" xfId="0" applyNumberFormat="1" applyFont="1" applyFill="1" applyBorder="1" applyAlignment="1" applyProtection="1">
      <alignment horizont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5" fontId="2" fillId="3" borderId="3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7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3" borderId="12" xfId="0" applyNumberFormat="1" applyFont="1" applyFill="1" applyBorder="1" applyAlignment="1" applyProtection="1">
      <alignment horizontal="center"/>
    </xf>
    <xf numFmtId="38" fontId="2" fillId="3" borderId="8" xfId="0" applyNumberFormat="1" applyFont="1" applyFill="1" applyBorder="1" applyAlignment="1" applyProtection="1">
      <alignment horizontal="center"/>
    </xf>
    <xf numFmtId="10" fontId="2" fillId="3" borderId="8" xfId="3" applyNumberFormat="1" applyFont="1" applyFill="1" applyBorder="1" applyAlignment="1" applyProtection="1">
      <alignment horizontal="center"/>
    </xf>
    <xf numFmtId="165" fontId="3" fillId="2" borderId="8" xfId="2" applyNumberFormat="1" applyFont="1" applyFill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40" fontId="8" fillId="0" borderId="8" xfId="0" applyNumberFormat="1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15" fontId="2" fillId="3" borderId="5" xfId="0" applyNumberFormat="1" applyFont="1" applyFill="1" applyBorder="1" applyAlignment="1" applyProtection="1">
      <alignment horizontal="center"/>
    </xf>
    <xf numFmtId="167" fontId="2" fillId="3" borderId="8" xfId="1" applyNumberFormat="1" applyFont="1" applyFill="1" applyBorder="1" applyAlignment="1" applyProtection="1">
      <alignment horizontal="center"/>
    </xf>
    <xf numFmtId="40" fontId="2" fillId="3" borderId="8" xfId="0" applyNumberFormat="1" applyFont="1" applyFill="1" applyBorder="1" applyAlignment="1" applyProtection="1">
      <alignment horizontal="center"/>
    </xf>
    <xf numFmtId="38" fontId="2" fillId="3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2" xfId="0" applyNumberFormat="1" applyFont="1" applyFill="1" applyBorder="1" applyAlignment="1" applyProtection="1">
      <alignment horizontal="center" vertical="center"/>
    </xf>
    <xf numFmtId="10" fontId="7" fillId="3" borderId="2" xfId="3" applyNumberFormat="1" applyFont="1" applyFill="1" applyBorder="1" applyAlignment="1" applyProtection="1">
      <alignment horizontal="center"/>
    </xf>
    <xf numFmtId="40" fontId="2" fillId="3" borderId="2" xfId="0" applyNumberFormat="1" applyFont="1" applyFill="1" applyBorder="1" applyAlignment="1" applyProtection="1">
      <alignment horizontal="center" vertical="center"/>
    </xf>
    <xf numFmtId="38" fontId="2" fillId="3" borderId="14" xfId="0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4" fontId="10" fillId="0" borderId="0" xfId="2" applyNumberFormat="1" applyFont="1" applyFill="1" applyBorder="1" applyAlignment="1" applyProtection="1">
      <alignment horizontal="center"/>
    </xf>
    <xf numFmtId="4" fontId="10" fillId="0" borderId="3" xfId="2" applyNumberFormat="1" applyFont="1" applyFill="1" applyBorder="1" applyAlignment="1" applyProtection="1">
      <alignment horizontal="center"/>
    </xf>
    <xf numFmtId="4" fontId="10" fillId="0" borderId="2" xfId="2" applyNumberFormat="1" applyFont="1" applyFill="1" applyBorder="1" applyAlignment="1" applyProtection="1">
      <alignment horizontal="center"/>
    </xf>
    <xf numFmtId="165" fontId="3" fillId="2" borderId="9" xfId="2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4" borderId="3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171" fontId="3" fillId="4" borderId="0" xfId="2" applyNumberFormat="1" applyFont="1" applyFill="1" applyBorder="1" applyAlignment="1" applyProtection="1">
      <alignment horizontal="center"/>
      <protection locked="0"/>
    </xf>
    <xf numFmtId="171" fontId="3" fillId="4" borderId="12" xfId="2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2" xfId="0" applyNumberFormat="1" applyFont="1" applyFill="1" applyBorder="1" applyAlignment="1" applyProtection="1">
      <alignment horizontal="center"/>
    </xf>
    <xf numFmtId="165" fontId="3" fillId="3" borderId="8" xfId="2" applyNumberFormat="1" applyFont="1" applyFill="1" applyBorder="1" applyAlignment="1" applyProtection="1">
      <alignment horizontal="center"/>
      <protection locked="0"/>
    </xf>
    <xf numFmtId="165" fontId="3" fillId="3" borderId="6" xfId="2" applyNumberFormat="1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2" xfId="0" applyNumberFormat="1" applyFont="1" applyFill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3" fillId="3" borderId="12" xfId="0" applyNumberFormat="1" applyFont="1" applyFill="1" applyBorder="1" applyAlignment="1" applyProtection="1">
      <alignment horizontal="center"/>
    </xf>
    <xf numFmtId="165" fontId="3" fillId="3" borderId="2" xfId="2" applyNumberFormat="1" applyFont="1" applyFill="1" applyBorder="1" applyAlignment="1" applyProtection="1">
      <alignment horizontal="center"/>
      <protection locked="0"/>
    </xf>
    <xf numFmtId="165" fontId="3" fillId="3" borderId="14" xfId="2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right"/>
    </xf>
    <xf numFmtId="0" fontId="3" fillId="3" borderId="2" xfId="0" applyFont="1" applyFill="1" applyBorder="1" applyAlignment="1" applyProtection="1">
      <alignment horizontal="right"/>
    </xf>
    <xf numFmtId="10" fontId="3" fillId="3" borderId="2" xfId="0" applyNumberFormat="1" applyFont="1" applyFill="1" applyBorder="1" applyAlignment="1" applyProtection="1">
      <alignment horizontal="center"/>
    </xf>
    <xf numFmtId="10" fontId="3" fillId="3" borderId="14" xfId="0" applyNumberFormat="1" applyFont="1" applyFill="1" applyBorder="1" applyAlignment="1" applyProtection="1">
      <alignment horizontal="center"/>
    </xf>
    <xf numFmtId="0" fontId="11" fillId="3" borderId="13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/>
    <xf numFmtId="0" fontId="12" fillId="3" borderId="11" xfId="0" applyFont="1" applyFill="1" applyBorder="1" applyAlignment="1" applyProtection="1"/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2" xfId="2" applyNumberFormat="1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 vertical="center" wrapText="1"/>
    </xf>
    <xf numFmtId="165" fontId="3" fillId="3" borderId="5" xfId="2" applyNumberFormat="1" applyFont="1" applyFill="1" applyBorder="1" applyAlignment="1" applyProtection="1">
      <alignment horizontal="center" vertical="center" wrapText="1"/>
    </xf>
    <xf numFmtId="165" fontId="3" fillId="3" borderId="8" xfId="2" applyNumberFormat="1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"/>
    </xf>
    <xf numFmtId="165" fontId="3" fillId="3" borderId="11" xfId="2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5" fontId="2" fillId="3" borderId="4" xfId="0" applyNumberFormat="1" applyFont="1" applyFill="1" applyBorder="1" applyAlignment="1" applyProtection="1">
      <alignment horizontal="center"/>
    </xf>
    <xf numFmtId="15" fontId="3" fillId="3" borderId="10" xfId="0" applyNumberFormat="1" applyFont="1" applyFill="1" applyBorder="1" applyAlignment="1" applyProtection="1">
      <alignment horizontal="center"/>
    </xf>
    <xf numFmtId="4" fontId="3" fillId="3" borderId="11" xfId="2" applyNumberFormat="1" applyFont="1" applyFill="1" applyBorder="1" applyAlignment="1" applyProtection="1">
      <alignment horizontal="center"/>
    </xf>
    <xf numFmtId="4" fontId="3" fillId="3" borderId="11" xfId="0" applyNumberFormat="1" applyFont="1" applyFill="1" applyBorder="1" applyAlignment="1" applyProtection="1">
      <alignment horizontal="center"/>
    </xf>
    <xf numFmtId="169" fontId="3" fillId="5" borderId="0" xfId="0" applyNumberFormat="1" applyFont="1" applyFill="1" applyBorder="1" applyAlignment="1" applyProtection="1">
      <alignment horizontal="center"/>
      <protection locked="0"/>
    </xf>
    <xf numFmtId="169" fontId="3" fillId="5" borderId="12" xfId="0" applyNumberFormat="1" applyFont="1" applyFill="1" applyBorder="1" applyAlignment="1" applyProtection="1">
      <alignment horizontal="center"/>
      <protection locked="0"/>
    </xf>
    <xf numFmtId="10" fontId="4" fillId="5" borderId="6" xfId="3" applyNumberFormat="1" applyFont="1" applyFill="1" applyBorder="1" applyAlignment="1" applyProtection="1">
      <alignment horizontal="center"/>
      <protection locked="0"/>
    </xf>
    <xf numFmtId="10" fontId="4" fillId="5" borderId="7" xfId="3" applyNumberFormat="1" applyFont="1" applyFill="1" applyBorder="1" applyAlignment="1" applyProtection="1">
      <alignment horizontal="center"/>
      <protection locked="0"/>
    </xf>
    <xf numFmtId="166" fontId="3" fillId="5" borderId="12" xfId="3" applyNumberFormat="1" applyFont="1" applyFill="1" applyBorder="1" applyAlignment="1" applyProtection="1">
      <alignment horizontal="center"/>
    </xf>
    <xf numFmtId="166" fontId="3" fillId="5" borderId="6" xfId="3" applyNumberFormat="1" applyFont="1" applyFill="1" applyBorder="1" applyAlignment="1" applyProtection="1">
      <alignment horizontal="center"/>
    </xf>
    <xf numFmtId="175" fontId="2" fillId="2" borderId="0" xfId="0" applyNumberFormat="1" applyFont="1" applyFill="1" applyAlignment="1" applyProtection="1">
      <alignment horizontal="center" vertical="center"/>
    </xf>
    <xf numFmtId="171" fontId="3" fillId="3" borderId="0" xfId="2" applyNumberFormat="1" applyFont="1" applyFill="1" applyBorder="1" applyAlignment="1" applyProtection="1">
      <alignment horizontal="center"/>
      <protection locked="0"/>
    </xf>
    <xf numFmtId="171" fontId="3" fillId="3" borderId="12" xfId="2" applyNumberFormat="1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CC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619125</xdr:colOff>
      <xdr:row>1</xdr:row>
      <xdr:rowOff>76200</xdr:rowOff>
    </xdr:from>
    <xdr:to>
      <xdr:col>21</xdr:col>
      <xdr:colOff>28575</xdr:colOff>
      <xdr:row>6</xdr:row>
      <xdr:rowOff>52874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96" r="29843"/>
        <a:stretch/>
      </xdr:blipFill>
      <xdr:spPr>
        <a:xfrm>
          <a:off x="8191500" y="219075"/>
          <a:ext cx="1685925" cy="691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41</xdr:row>
      <xdr:rowOff>38100</xdr:rowOff>
    </xdr:from>
    <xdr:to>
      <xdr:col>14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71527" y="77438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62000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619125</xdr:colOff>
      <xdr:row>1</xdr:row>
      <xdr:rowOff>76200</xdr:rowOff>
    </xdr:from>
    <xdr:to>
      <xdr:col>21</xdr:col>
      <xdr:colOff>28575</xdr:colOff>
      <xdr:row>6</xdr:row>
      <xdr:rowOff>52874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496" r="29843"/>
        <a:stretch/>
      </xdr:blipFill>
      <xdr:spPr>
        <a:xfrm>
          <a:off x="8191500" y="219075"/>
          <a:ext cx="1685925" cy="691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tabSelected="1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00" t="s">
        <v>41</v>
      </c>
      <c r="G8" s="101"/>
      <c r="H8" s="101"/>
      <c r="I8" s="101"/>
      <c r="J8" s="101"/>
      <c r="K8" s="101"/>
      <c r="L8" s="101"/>
      <c r="M8" s="101"/>
      <c r="N8" s="101"/>
      <c r="O8" s="102"/>
      <c r="P8" s="103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73" t="s">
        <v>0</v>
      </c>
      <c r="G10" s="94">
        <v>44589</v>
      </c>
      <c r="H10" s="95"/>
      <c r="I10" s="96" t="s">
        <v>1</v>
      </c>
      <c r="J10" s="97"/>
      <c r="K10" s="98">
        <f>XIRR(N30:N38,D30:D38)</f>
        <v>0.48421667218208309</v>
      </c>
      <c r="L10" s="99"/>
      <c r="M10" s="96" t="s">
        <v>29</v>
      </c>
      <c r="N10" s="97"/>
      <c r="O10" s="98" t="s">
        <v>37</v>
      </c>
      <c r="P10" s="99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4" t="s">
        <v>3</v>
      </c>
      <c r="G11" s="88">
        <f>+F38</f>
        <v>45319</v>
      </c>
      <c r="H11" s="89"/>
      <c r="I11" s="78" t="s">
        <v>19</v>
      </c>
      <c r="J11" s="79"/>
      <c r="K11" s="90">
        <f>+NOMINAL(K10,4)</f>
        <v>0.41503669747448235</v>
      </c>
      <c r="L11" s="91"/>
      <c r="M11" s="78" t="s">
        <v>33</v>
      </c>
      <c r="N11" s="79"/>
      <c r="O11" s="92" t="s">
        <v>43</v>
      </c>
      <c r="P11" s="93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74" t="s">
        <v>30</v>
      </c>
      <c r="G12" s="90" t="s">
        <v>24</v>
      </c>
      <c r="H12" s="91"/>
      <c r="I12" s="78" t="s">
        <v>32</v>
      </c>
      <c r="J12" s="79"/>
      <c r="K12" s="80">
        <f>+(U40/T40)*12</f>
        <v>15.871021176471364</v>
      </c>
      <c r="L12" s="81"/>
      <c r="M12" s="78" t="s">
        <v>2</v>
      </c>
      <c r="N12" s="79"/>
      <c r="O12" s="90">
        <v>1</v>
      </c>
      <c r="P12" s="91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4"/>
      <c r="G13" s="128"/>
      <c r="H13" s="129"/>
      <c r="I13" s="78" t="s">
        <v>27</v>
      </c>
      <c r="J13" s="79"/>
      <c r="K13" s="80" t="s">
        <v>40</v>
      </c>
      <c r="L13" s="81"/>
      <c r="M13" s="78" t="s">
        <v>38</v>
      </c>
      <c r="N13" s="79"/>
      <c r="O13" s="121">
        <v>10000000</v>
      </c>
      <c r="P13" s="122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75" t="s">
        <v>4</v>
      </c>
      <c r="G14" s="82">
        <f>+$G$10</f>
        <v>44589</v>
      </c>
      <c r="H14" s="83"/>
      <c r="I14" s="84" t="s">
        <v>28</v>
      </c>
      <c r="J14" s="85"/>
      <c r="K14" s="86">
        <v>24</v>
      </c>
      <c r="L14" s="87"/>
      <c r="M14" s="84" t="s">
        <v>44</v>
      </c>
      <c r="N14" s="85"/>
      <c r="O14" s="123">
        <v>0.04</v>
      </c>
      <c r="P14" s="124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114" t="s">
        <v>11</v>
      </c>
      <c r="J16" s="115" t="s">
        <v>17</v>
      </c>
      <c r="K16" s="115" t="s">
        <v>12</v>
      </c>
      <c r="L16" s="116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117">
        <f t="shared" ref="I17:I23" si="0">+F31</f>
        <v>44679</v>
      </c>
      <c r="J17" s="68">
        <f>+$O$13*K31/100</f>
        <v>0</v>
      </c>
      <c r="K17" s="69">
        <f>+$O$13*J31/100</f>
        <v>1023287.6712328766</v>
      </c>
      <c r="L17" s="21">
        <f>SUM(J17:K17)</f>
        <v>1023287.6712328766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117">
        <f t="shared" si="0"/>
        <v>44770</v>
      </c>
      <c r="J18" s="68">
        <f>+$O$13*K32/100</f>
        <v>0</v>
      </c>
      <c r="K18" s="67">
        <f>+$O$13*J32/100</f>
        <v>1034657.5342465754</v>
      </c>
      <c r="L18" s="21">
        <f t="shared" ref="L18:L24" si="1">SUM(J18:K18)</f>
        <v>1034657.5342465754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117">
        <f t="shared" si="0"/>
        <v>44862</v>
      </c>
      <c r="J19" s="68">
        <f>+$O$13*K33/100</f>
        <v>0</v>
      </c>
      <c r="K19" s="67">
        <f>+$O$13*J33/100</f>
        <v>1046027.3972602737</v>
      </c>
      <c r="L19" s="21">
        <f t="shared" si="1"/>
        <v>1046027.3972602737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117">
        <f t="shared" si="0"/>
        <v>44954</v>
      </c>
      <c r="J20" s="68">
        <f>+$O$13*K34/100</f>
        <v>0</v>
      </c>
      <c r="K20" s="67">
        <f>+$O$13*J34/100</f>
        <v>1046027.3972602737</v>
      </c>
      <c r="L20" s="21">
        <f t="shared" si="1"/>
        <v>1046027.3972602737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117">
        <f t="shared" si="0"/>
        <v>45044</v>
      </c>
      <c r="J21" s="68">
        <f>+$O$13*K35/100</f>
        <v>0</v>
      </c>
      <c r="K21" s="67">
        <f>+$O$13*J35/100</f>
        <v>1023287.6712328766</v>
      </c>
      <c r="L21" s="21">
        <f t="shared" si="1"/>
        <v>1023287.6712328766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117">
        <f t="shared" si="0"/>
        <v>45135</v>
      </c>
      <c r="J22" s="68">
        <f>+$O$13*K36/100</f>
        <v>3300000</v>
      </c>
      <c r="K22" s="67">
        <f>+$O$13*J36/100</f>
        <v>1034657.5342465754</v>
      </c>
      <c r="L22" s="21">
        <f t="shared" si="1"/>
        <v>4334657.5342465751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117">
        <f t="shared" si="0"/>
        <v>45227</v>
      </c>
      <c r="J23" s="68">
        <f>+$O$13*K37/100</f>
        <v>3300000</v>
      </c>
      <c r="K23" s="67">
        <f>+$O$13*J37/100</f>
        <v>700838.35616438347</v>
      </c>
      <c r="L23" s="21">
        <f t="shared" si="1"/>
        <v>4000838.3561643837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117">
        <f>+F38</f>
        <v>45319</v>
      </c>
      <c r="J24" s="68">
        <f>+$O$13*K38/100</f>
        <v>3400000</v>
      </c>
      <c r="K24" s="67">
        <f>+$O$13*J38/100</f>
        <v>355649.31506849313</v>
      </c>
      <c r="L24" s="21">
        <f t="shared" si="1"/>
        <v>3755649.3150684931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118" t="s">
        <v>13</v>
      </c>
      <c r="J25" s="119">
        <f>SUM(J17:J24)</f>
        <v>10000000</v>
      </c>
      <c r="K25" s="119">
        <f>SUM(K17:K24)</f>
        <v>7264432.8767123278</v>
      </c>
      <c r="L25" s="120">
        <f>SUM(J25:K25)</f>
        <v>17264432.87671233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04" t="s">
        <v>18</v>
      </c>
      <c r="G27" s="105" t="s">
        <v>36</v>
      </c>
      <c r="H27" s="105" t="s">
        <v>14</v>
      </c>
      <c r="I27" s="105" t="s">
        <v>22</v>
      </c>
      <c r="J27" s="106" t="s">
        <v>21</v>
      </c>
      <c r="K27" s="106" t="s">
        <v>5</v>
      </c>
      <c r="L27" s="106" t="s">
        <v>15</v>
      </c>
      <c r="M27" s="107" t="s">
        <v>6</v>
      </c>
      <c r="N27" s="108" t="s">
        <v>16</v>
      </c>
      <c r="O27" s="108" t="s">
        <v>42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V27" s="9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09"/>
      <c r="G28" s="110"/>
      <c r="H28" s="110"/>
      <c r="I28" s="110"/>
      <c r="J28" s="111"/>
      <c r="K28" s="111"/>
      <c r="L28" s="111"/>
      <c r="M28" s="112"/>
      <c r="N28" s="113"/>
      <c r="O28" s="113"/>
      <c r="Q28" s="10"/>
      <c r="R28" s="11">
        <f>+K10</f>
        <v>0.48421667218208309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70"/>
      <c r="G29" s="50"/>
      <c r="H29" s="50"/>
      <c r="I29" s="20">
        <f>+I30</f>
        <v>0.04</v>
      </c>
      <c r="J29" s="51"/>
      <c r="K29" s="51"/>
      <c r="L29" s="52">
        <f>+L30</f>
        <v>100</v>
      </c>
      <c r="M29" s="53"/>
      <c r="N29" s="71"/>
      <c r="Q29" s="10"/>
      <c r="R29" s="11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44589</v>
      </c>
      <c r="C30" s="32"/>
      <c r="D30" s="30">
        <f>+G14</f>
        <v>44589</v>
      </c>
      <c r="E30" s="39">
        <f>+G10</f>
        <v>44589</v>
      </c>
      <c r="F30" s="59">
        <f>+E30</f>
        <v>44589</v>
      </c>
      <c r="G30" s="60"/>
      <c r="H30" s="60"/>
      <c r="I30" s="61">
        <f t="shared" ref="I30:I38" si="2">+$O$14</f>
        <v>0.04</v>
      </c>
      <c r="J30" s="60"/>
      <c r="K30" s="60"/>
      <c r="L30" s="62">
        <v>100</v>
      </c>
      <c r="M30" s="62">
        <f>-O12*100</f>
        <v>-100</v>
      </c>
      <c r="N30" s="63">
        <f>+O13*-1</f>
        <v>-10000000</v>
      </c>
      <c r="O30" s="63"/>
      <c r="P30" s="1"/>
      <c r="Q30" s="16">
        <f t="shared" ref="Q30:Q39" si="3">H30/365</f>
        <v>0</v>
      </c>
      <c r="R30" s="16">
        <f t="shared" ref="R30:R39" si="4">1/(1+$K$10)^(H30/365)</f>
        <v>1</v>
      </c>
      <c r="S30" s="17">
        <f t="shared" ref="S30:S38" si="5">+M30</f>
        <v>-100</v>
      </c>
      <c r="T30" s="17">
        <f t="shared" ref="T30:T38" si="6">+S30*R30</f>
        <v>-100</v>
      </c>
      <c r="U30" s="17">
        <f t="shared" ref="U30:U38" si="7">+T30*Q30</f>
        <v>0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44679</v>
      </c>
      <c r="C31" s="32">
        <f t="shared" ref="C31:C38" si="8">+B31-B30</f>
        <v>90</v>
      </c>
      <c r="D31" s="30">
        <f t="shared" ref="D31:D38" si="9">+F31</f>
        <v>44679</v>
      </c>
      <c r="E31" s="39">
        <f t="shared" ref="E31:E38" si="10">+E30+C31</f>
        <v>44679</v>
      </c>
      <c r="F31" s="42">
        <f t="shared" ref="F31:F38" si="11">+E31</f>
        <v>44679</v>
      </c>
      <c r="G31" s="43">
        <f t="shared" ref="G31:G38" si="12">+E31-E30</f>
        <v>90</v>
      </c>
      <c r="H31" s="43">
        <f t="shared" ref="H31:H38" si="13">+IF(F31-$G$14&lt;0,0,F31-$G$14)</f>
        <v>90</v>
      </c>
      <c r="I31" s="41">
        <f>+$O$14+O31</f>
        <v>0.41499999999999998</v>
      </c>
      <c r="J31" s="44">
        <f t="shared" ref="J31:J38" si="14">+I31/365*G31*L30</f>
        <v>10.232876712328766</v>
      </c>
      <c r="K31" s="45">
        <v>0</v>
      </c>
      <c r="L31" s="45">
        <f t="shared" ref="L31:L38" si="15">+L30-K31</f>
        <v>100</v>
      </c>
      <c r="M31" s="45">
        <f t="shared" ref="M31:M38" si="16">+IF(F31&gt;$G$14,J31+K31,0)</f>
        <v>10.232876712328766</v>
      </c>
      <c r="N31" s="47">
        <f>+M31*$O$13/100</f>
        <v>1023287.6712328766</v>
      </c>
      <c r="O31" s="125">
        <v>0.375</v>
      </c>
      <c r="P31" s="1"/>
      <c r="Q31" s="16">
        <f t="shared" si="3"/>
        <v>0.24657534246575341</v>
      </c>
      <c r="R31" s="16">
        <f t="shared" si="4"/>
        <v>0.9072207881149208</v>
      </c>
      <c r="S31" s="17">
        <f t="shared" si="5"/>
        <v>10.232876712328766</v>
      </c>
      <c r="T31" s="127">
        <f t="shared" si="6"/>
        <v>9.2834784756417221</v>
      </c>
      <c r="U31" s="17">
        <f t="shared" si="7"/>
        <v>2.2890768844048082</v>
      </c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44770</v>
      </c>
      <c r="C32" s="32">
        <f t="shared" si="8"/>
        <v>91</v>
      </c>
      <c r="D32" s="30">
        <f t="shared" si="9"/>
        <v>44770</v>
      </c>
      <c r="E32" s="39">
        <f t="shared" si="10"/>
        <v>44770</v>
      </c>
      <c r="F32" s="42">
        <f t="shared" si="11"/>
        <v>44770</v>
      </c>
      <c r="G32" s="43">
        <f t="shared" si="12"/>
        <v>91</v>
      </c>
      <c r="H32" s="43">
        <f t="shared" si="13"/>
        <v>181</v>
      </c>
      <c r="I32" s="41">
        <f t="shared" ref="I32:I37" si="17">+$O$14+O32</f>
        <v>0.41499999999999998</v>
      </c>
      <c r="J32" s="44">
        <f t="shared" si="14"/>
        <v>10.346575342465753</v>
      </c>
      <c r="K32" s="45">
        <v>0</v>
      </c>
      <c r="L32" s="45">
        <f t="shared" si="15"/>
        <v>100</v>
      </c>
      <c r="M32" s="45">
        <f t="shared" si="16"/>
        <v>10.346575342465753</v>
      </c>
      <c r="N32" s="47">
        <f>+M32*$O$13/100</f>
        <v>1034657.5342465754</v>
      </c>
      <c r="O32" s="125">
        <f>+$O$31</f>
        <v>0.375</v>
      </c>
      <c r="P32" s="1"/>
      <c r="Q32" s="16">
        <f t="shared" si="3"/>
        <v>0.49589041095890413</v>
      </c>
      <c r="R32" s="16">
        <f t="shared" si="4"/>
        <v>0.82215959691660456</v>
      </c>
      <c r="S32" s="17">
        <f t="shared" si="5"/>
        <v>10.346575342465753</v>
      </c>
      <c r="T32" s="127">
        <f t="shared" si="6"/>
        <v>8.506536213028923</v>
      </c>
      <c r="U32" s="17">
        <f t="shared" si="7"/>
        <v>4.2183097385157122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44862</v>
      </c>
      <c r="C33" s="32">
        <f t="shared" si="8"/>
        <v>92</v>
      </c>
      <c r="D33" s="30">
        <f t="shared" si="9"/>
        <v>44862</v>
      </c>
      <c r="E33" s="39">
        <f t="shared" si="10"/>
        <v>44862</v>
      </c>
      <c r="F33" s="42">
        <f t="shared" si="11"/>
        <v>44862</v>
      </c>
      <c r="G33" s="43">
        <f t="shared" si="12"/>
        <v>92</v>
      </c>
      <c r="H33" s="43">
        <f t="shared" si="13"/>
        <v>273</v>
      </c>
      <c r="I33" s="41">
        <f t="shared" si="17"/>
        <v>0.41499999999999998</v>
      </c>
      <c r="J33" s="44">
        <f t="shared" si="14"/>
        <v>10.460273972602737</v>
      </c>
      <c r="K33" s="45">
        <v>0</v>
      </c>
      <c r="L33" s="45">
        <f t="shared" si="15"/>
        <v>100</v>
      </c>
      <c r="M33" s="45">
        <f t="shared" si="16"/>
        <v>10.460273972602737</v>
      </c>
      <c r="N33" s="47">
        <f>+M33*$O$13/100</f>
        <v>1046027.3972602737</v>
      </c>
      <c r="O33" s="125">
        <f t="shared" ref="O33:O37" si="18">+$O$31</f>
        <v>0.375</v>
      </c>
      <c r="P33" s="1"/>
      <c r="Q33" s="16">
        <f t="shared" si="3"/>
        <v>0.74794520547945209</v>
      </c>
      <c r="R33" s="16">
        <f t="shared" si="4"/>
        <v>0.7442681125237437</v>
      </c>
      <c r="S33" s="17">
        <f t="shared" si="5"/>
        <v>10.460273972602737</v>
      </c>
      <c r="T33" s="127">
        <f t="shared" si="6"/>
        <v>7.7852483660702809</v>
      </c>
      <c r="U33" s="17">
        <f t="shared" si="7"/>
        <v>5.8229391888690047</v>
      </c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44954</v>
      </c>
      <c r="C34" s="32">
        <f t="shared" si="8"/>
        <v>92</v>
      </c>
      <c r="D34" s="30">
        <f t="shared" si="9"/>
        <v>44954</v>
      </c>
      <c r="E34" s="39">
        <f t="shared" si="10"/>
        <v>44954</v>
      </c>
      <c r="F34" s="42">
        <f t="shared" si="11"/>
        <v>44954</v>
      </c>
      <c r="G34" s="43">
        <f t="shared" si="12"/>
        <v>92</v>
      </c>
      <c r="H34" s="43">
        <f t="shared" si="13"/>
        <v>365</v>
      </c>
      <c r="I34" s="41">
        <f t="shared" si="17"/>
        <v>0.41499999999999998</v>
      </c>
      <c r="J34" s="44">
        <f t="shared" si="14"/>
        <v>10.460273972602737</v>
      </c>
      <c r="K34" s="45">
        <v>0</v>
      </c>
      <c r="L34" s="45">
        <f t="shared" si="15"/>
        <v>100</v>
      </c>
      <c r="M34" s="45">
        <f t="shared" si="16"/>
        <v>10.460273972602737</v>
      </c>
      <c r="N34" s="47">
        <f>+M34*$O$13/100</f>
        <v>1046027.3972602737</v>
      </c>
      <c r="O34" s="125">
        <f t="shared" si="18"/>
        <v>0.375</v>
      </c>
      <c r="P34" s="1"/>
      <c r="Q34" s="16">
        <f t="shared" si="3"/>
        <v>1</v>
      </c>
      <c r="R34" s="16">
        <f t="shared" si="4"/>
        <v>0.67375607533757742</v>
      </c>
      <c r="S34" s="17">
        <f t="shared" si="5"/>
        <v>10.460273972602737</v>
      </c>
      <c r="T34" s="127">
        <f t="shared" si="6"/>
        <v>7.0476731387366298</v>
      </c>
      <c r="U34" s="17">
        <f t="shared" si="7"/>
        <v>7.0476731387366298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45044</v>
      </c>
      <c r="C35" s="32">
        <f t="shared" si="8"/>
        <v>90</v>
      </c>
      <c r="D35" s="30">
        <f t="shared" si="9"/>
        <v>45044</v>
      </c>
      <c r="E35" s="39">
        <f t="shared" si="10"/>
        <v>45044</v>
      </c>
      <c r="F35" s="42">
        <f t="shared" si="11"/>
        <v>45044</v>
      </c>
      <c r="G35" s="43">
        <f t="shared" si="12"/>
        <v>90</v>
      </c>
      <c r="H35" s="43">
        <f t="shared" si="13"/>
        <v>455</v>
      </c>
      <c r="I35" s="41">
        <f t="shared" si="17"/>
        <v>0.41499999999999998</v>
      </c>
      <c r="J35" s="44">
        <f t="shared" si="14"/>
        <v>10.232876712328766</v>
      </c>
      <c r="K35" s="45">
        <v>0</v>
      </c>
      <c r="L35" s="45">
        <f t="shared" si="15"/>
        <v>100</v>
      </c>
      <c r="M35" s="45">
        <f t="shared" si="16"/>
        <v>10.232876712328766</v>
      </c>
      <c r="N35" s="47">
        <f>+M35*$O$13/100</f>
        <v>1023287.6712328766</v>
      </c>
      <c r="O35" s="125">
        <f t="shared" si="18"/>
        <v>0.375</v>
      </c>
      <c r="P35" s="1"/>
      <c r="Q35" s="16">
        <f t="shared" si="3"/>
        <v>1.2465753424657535</v>
      </c>
      <c r="R35" s="16">
        <f t="shared" si="4"/>
        <v>0.61124551766497293</v>
      </c>
      <c r="S35" s="17">
        <f t="shared" si="5"/>
        <v>10.232876712328766</v>
      </c>
      <c r="T35" s="127">
        <f t="shared" si="6"/>
        <v>6.2548000232292429</v>
      </c>
      <c r="U35" s="17">
        <f t="shared" si="7"/>
        <v>7.7970794810117967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45135</v>
      </c>
      <c r="C36" s="32">
        <f t="shared" si="8"/>
        <v>91</v>
      </c>
      <c r="D36" s="30">
        <f t="shared" si="9"/>
        <v>45135</v>
      </c>
      <c r="E36" s="39">
        <f t="shared" si="10"/>
        <v>45135</v>
      </c>
      <c r="F36" s="42">
        <f t="shared" si="11"/>
        <v>45135</v>
      </c>
      <c r="G36" s="43">
        <f t="shared" si="12"/>
        <v>91</v>
      </c>
      <c r="H36" s="43">
        <f t="shared" si="13"/>
        <v>546</v>
      </c>
      <c r="I36" s="41">
        <f t="shared" si="17"/>
        <v>0.41499999999999998</v>
      </c>
      <c r="J36" s="44">
        <f t="shared" si="14"/>
        <v>10.346575342465753</v>
      </c>
      <c r="K36" s="45">
        <v>33</v>
      </c>
      <c r="L36" s="45">
        <f t="shared" si="15"/>
        <v>67</v>
      </c>
      <c r="M36" s="45">
        <f t="shared" si="16"/>
        <v>43.346575342465755</v>
      </c>
      <c r="N36" s="47">
        <f>+M36*$O$13/100</f>
        <v>4334657.5342465751</v>
      </c>
      <c r="O36" s="125">
        <f t="shared" si="18"/>
        <v>0.375</v>
      </c>
      <c r="P36" s="1"/>
      <c r="Q36" s="16">
        <f t="shared" si="3"/>
        <v>1.4958904109589042</v>
      </c>
      <c r="R36" s="16">
        <f t="shared" si="4"/>
        <v>0.55393502331965616</v>
      </c>
      <c r="S36" s="17">
        <f t="shared" si="5"/>
        <v>43.346575342465755</v>
      </c>
      <c r="T36" s="127">
        <f t="shared" si="6"/>
        <v>24.011186223156002</v>
      </c>
      <c r="U36" s="17">
        <f t="shared" si="7"/>
        <v>35.918103226967609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45227</v>
      </c>
      <c r="C37" s="32">
        <f t="shared" si="8"/>
        <v>92</v>
      </c>
      <c r="D37" s="30">
        <f t="shared" si="9"/>
        <v>45227</v>
      </c>
      <c r="E37" s="39">
        <f t="shared" si="10"/>
        <v>45227</v>
      </c>
      <c r="F37" s="42">
        <f t="shared" si="11"/>
        <v>45227</v>
      </c>
      <c r="G37" s="43">
        <f t="shared" si="12"/>
        <v>92</v>
      </c>
      <c r="H37" s="43">
        <f t="shared" si="13"/>
        <v>638</v>
      </c>
      <c r="I37" s="41">
        <f t="shared" si="17"/>
        <v>0.41499999999999998</v>
      </c>
      <c r="J37" s="44">
        <f t="shared" si="14"/>
        <v>7.0083835616438339</v>
      </c>
      <c r="K37" s="45">
        <v>33</v>
      </c>
      <c r="L37" s="45">
        <f t="shared" si="15"/>
        <v>34</v>
      </c>
      <c r="M37" s="45">
        <f t="shared" si="16"/>
        <v>40.008383561643832</v>
      </c>
      <c r="N37" s="47">
        <f>+M37*$O$13/100</f>
        <v>4000838.3561643832</v>
      </c>
      <c r="O37" s="125">
        <f t="shared" si="18"/>
        <v>0.375</v>
      </c>
      <c r="P37" s="1"/>
      <c r="Q37" s="16">
        <f t="shared" si="3"/>
        <v>1.747945205479452</v>
      </c>
      <c r="R37" s="16">
        <f t="shared" si="4"/>
        <v>0.50145516249290401</v>
      </c>
      <c r="S37" s="17">
        <f t="shared" si="5"/>
        <v>40.008383561643832</v>
      </c>
      <c r="T37" s="127">
        <f t="shared" si="6"/>
        <v>20.062410479982539</v>
      </c>
      <c r="U37" s="17">
        <f t="shared" si="7"/>
        <v>35.067994208846187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45319</v>
      </c>
      <c r="C38" s="32">
        <f t="shared" si="8"/>
        <v>92</v>
      </c>
      <c r="D38" s="30">
        <f t="shared" si="9"/>
        <v>45319</v>
      </c>
      <c r="E38" s="39">
        <f t="shared" si="10"/>
        <v>45319</v>
      </c>
      <c r="F38" s="54">
        <f t="shared" si="11"/>
        <v>45319</v>
      </c>
      <c r="G38" s="48">
        <f t="shared" si="12"/>
        <v>92</v>
      </c>
      <c r="H38" s="48">
        <f t="shared" si="13"/>
        <v>730</v>
      </c>
      <c r="I38" s="49">
        <f>+$O$14+O38</f>
        <v>0.41499999999999998</v>
      </c>
      <c r="J38" s="55">
        <f t="shared" si="14"/>
        <v>3.5564931506849309</v>
      </c>
      <c r="K38" s="56">
        <v>34</v>
      </c>
      <c r="L38" s="56">
        <f t="shared" si="15"/>
        <v>0</v>
      </c>
      <c r="M38" s="56">
        <f t="shared" si="16"/>
        <v>37.556493150684929</v>
      </c>
      <c r="N38" s="57">
        <f>+M38*$O$13/100</f>
        <v>3755649.3150684927</v>
      </c>
      <c r="O38" s="126">
        <f>+$O$31</f>
        <v>0.375</v>
      </c>
      <c r="P38" s="1"/>
      <c r="Q38" s="16">
        <f t="shared" si="3"/>
        <v>2</v>
      </c>
      <c r="R38" s="16">
        <f t="shared" si="4"/>
        <v>0.45394724905429529</v>
      </c>
      <c r="S38" s="17">
        <f t="shared" si="5"/>
        <v>37.556493150684929</v>
      </c>
      <c r="T38" s="127">
        <f t="shared" si="6"/>
        <v>17.048666749879906</v>
      </c>
      <c r="U38" s="17">
        <f t="shared" si="7"/>
        <v>34.097333499759813</v>
      </c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3"/>
        <v>0</v>
      </c>
      <c r="R39" s="1">
        <f t="shared" si="4"/>
        <v>1</v>
      </c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7264432.8767123278</v>
      </c>
      <c r="Q40" s="19"/>
      <c r="R40" s="19"/>
      <c r="S40" s="17"/>
      <c r="T40" s="17">
        <f>SUM(T31:T38)</f>
        <v>99.999999669725241</v>
      </c>
      <c r="U40" s="17">
        <f>SUM(U31:U38)</f>
        <v>132.25850936711157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6">
    <mergeCell ref="L27:L28"/>
    <mergeCell ref="M27:M28"/>
    <mergeCell ref="N27:N28"/>
    <mergeCell ref="O27:O28"/>
    <mergeCell ref="F27:F28"/>
    <mergeCell ref="G27:G28"/>
    <mergeCell ref="H27:H28"/>
    <mergeCell ref="I27:I28"/>
    <mergeCell ref="J27:J28"/>
    <mergeCell ref="K27:K28"/>
    <mergeCell ref="G13:H13"/>
    <mergeCell ref="I13:J13"/>
    <mergeCell ref="K13:L13"/>
    <mergeCell ref="M13:N13"/>
    <mergeCell ref="O13:P13"/>
    <mergeCell ref="G14:H14"/>
    <mergeCell ref="I14:J14"/>
    <mergeCell ref="K14:L14"/>
    <mergeCell ref="M14:N14"/>
    <mergeCell ref="O14:P14"/>
    <mergeCell ref="G11:H11"/>
    <mergeCell ref="I11:J11"/>
    <mergeCell ref="K11:L11"/>
    <mergeCell ref="M11:N11"/>
    <mergeCell ref="O11:P11"/>
    <mergeCell ref="G12:H12"/>
    <mergeCell ref="I12:J12"/>
    <mergeCell ref="K12:L12"/>
    <mergeCell ref="M12:N12"/>
    <mergeCell ref="O12:P12"/>
    <mergeCell ref="F8:P8"/>
    <mergeCell ref="G10:H10"/>
    <mergeCell ref="I10:J10"/>
    <mergeCell ref="K10:L10"/>
    <mergeCell ref="M10:N10"/>
    <mergeCell ref="O10:P10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77"/>
  <sheetViews>
    <sheetView showGridLines="0" zoomScaleNormal="100" zoomScaleSheetLayoutView="130" workbookViewId="0">
      <selection activeCell="V25" sqref="V25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0.710937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10.1406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100" t="s">
        <v>39</v>
      </c>
      <c r="G8" s="101"/>
      <c r="H8" s="101"/>
      <c r="I8" s="101"/>
      <c r="J8" s="101"/>
      <c r="K8" s="101"/>
      <c r="L8" s="101"/>
      <c r="M8" s="101"/>
      <c r="N8" s="101"/>
      <c r="O8" s="102"/>
      <c r="P8" s="103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64" t="s">
        <v>0</v>
      </c>
      <c r="G10" s="94">
        <v>44589</v>
      </c>
      <c r="H10" s="95"/>
      <c r="I10" s="96" t="s">
        <v>1</v>
      </c>
      <c r="J10" s="97"/>
      <c r="K10" s="98">
        <f>XIRR(N30:N38,D30:D38)</f>
        <v>2.0150557160377506E-2</v>
      </c>
      <c r="L10" s="99"/>
      <c r="M10" s="96" t="s">
        <v>29</v>
      </c>
      <c r="N10" s="97"/>
      <c r="O10" s="98" t="s">
        <v>37</v>
      </c>
      <c r="P10" s="99"/>
      <c r="Q10" s="3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65" t="s">
        <v>3</v>
      </c>
      <c r="G11" s="88">
        <f>+F38</f>
        <v>45319</v>
      </c>
      <c r="H11" s="89"/>
      <c r="I11" s="78" t="s">
        <v>19</v>
      </c>
      <c r="J11" s="79"/>
      <c r="K11" s="90">
        <f>+NOMINAL(K10,4)</f>
        <v>2.0000055695756025E-2</v>
      </c>
      <c r="L11" s="91"/>
      <c r="M11" s="78" t="s">
        <v>33</v>
      </c>
      <c r="N11" s="79"/>
      <c r="O11" s="92" t="s">
        <v>34</v>
      </c>
      <c r="P11" s="93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34"/>
      <c r="F12" s="65" t="s">
        <v>30</v>
      </c>
      <c r="G12" s="90" t="s">
        <v>24</v>
      </c>
      <c r="H12" s="91"/>
      <c r="I12" s="78" t="s">
        <v>32</v>
      </c>
      <c r="J12" s="79"/>
      <c r="K12" s="80">
        <f>+(U40/T40)*12</f>
        <v>20.689572038713656</v>
      </c>
      <c r="L12" s="81"/>
      <c r="M12" s="78" t="s">
        <v>2</v>
      </c>
      <c r="N12" s="79"/>
      <c r="O12" s="90">
        <v>1</v>
      </c>
      <c r="P12" s="91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2" t="s">
        <v>35</v>
      </c>
      <c r="G13" s="76">
        <v>104.3961</v>
      </c>
      <c r="H13" s="77"/>
      <c r="I13" s="78" t="s">
        <v>27</v>
      </c>
      <c r="J13" s="79"/>
      <c r="K13" s="80" t="s">
        <v>40</v>
      </c>
      <c r="L13" s="81"/>
      <c r="M13" s="78" t="s">
        <v>38</v>
      </c>
      <c r="N13" s="79"/>
      <c r="O13" s="121">
        <v>100000</v>
      </c>
      <c r="P13" s="122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66" t="s">
        <v>4</v>
      </c>
      <c r="G14" s="82">
        <f>+G10</f>
        <v>44589</v>
      </c>
      <c r="H14" s="83"/>
      <c r="I14" s="84" t="s">
        <v>28</v>
      </c>
      <c r="J14" s="85"/>
      <c r="K14" s="86">
        <v>24</v>
      </c>
      <c r="L14" s="87"/>
      <c r="M14" s="84" t="s">
        <v>31</v>
      </c>
      <c r="N14" s="85"/>
      <c r="O14" s="123">
        <v>0.02</v>
      </c>
      <c r="P14" s="124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114" t="s">
        <v>11</v>
      </c>
      <c r="J16" s="115" t="s">
        <v>17</v>
      </c>
      <c r="K16" s="115" t="s">
        <v>12</v>
      </c>
      <c r="L16" s="116" t="s">
        <v>13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2:142" ht="12.75" customHeight="1" x14ac:dyDescent="0.2">
      <c r="I17" s="117">
        <f t="shared" ref="I17:I23" si="0">+F31</f>
        <v>44679</v>
      </c>
      <c r="J17" s="68">
        <f t="shared" ref="J17:J18" si="1">+$O$13*K31/100</f>
        <v>0</v>
      </c>
      <c r="K17" s="69">
        <f>+$O$13*J31/100</f>
        <v>493.15068493150682</v>
      </c>
      <c r="L17" s="21">
        <f>SUM(J17:K17)</f>
        <v>493.15068493150682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2:142" ht="12.75" customHeight="1" x14ac:dyDescent="0.2">
      <c r="I18" s="117">
        <f t="shared" si="0"/>
        <v>44770</v>
      </c>
      <c r="J18" s="68">
        <f t="shared" si="1"/>
        <v>0</v>
      </c>
      <c r="K18" s="67">
        <f t="shared" ref="K18" si="2">+$O$13*J32/100</f>
        <v>498.63013698630135</v>
      </c>
      <c r="L18" s="21">
        <f t="shared" ref="L18:L24" si="3">SUM(J18:K18)</f>
        <v>498.63013698630135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2:142" ht="12.75" customHeight="1" x14ac:dyDescent="0.2">
      <c r="I19" s="117">
        <f t="shared" si="0"/>
        <v>44862</v>
      </c>
      <c r="J19" s="68">
        <f t="shared" ref="J19:J22" si="4">+$O$13*K33/100</f>
        <v>0</v>
      </c>
      <c r="K19" s="67">
        <f t="shared" ref="K19:K22" si="5">+$O$13*J33/100</f>
        <v>504.10958904109589</v>
      </c>
      <c r="L19" s="21">
        <f t="shared" ref="L19:L22" si="6">SUM(J19:K19)</f>
        <v>504.10958904109589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2:142" ht="12.75" customHeight="1" x14ac:dyDescent="0.2">
      <c r="I20" s="117">
        <f t="shared" si="0"/>
        <v>44954</v>
      </c>
      <c r="J20" s="68">
        <f t="shared" si="4"/>
        <v>0</v>
      </c>
      <c r="K20" s="67">
        <f t="shared" si="5"/>
        <v>504.10958904109589</v>
      </c>
      <c r="L20" s="21">
        <f t="shared" si="6"/>
        <v>504.10958904109589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2:142" ht="12.75" customHeight="1" x14ac:dyDescent="0.2">
      <c r="I21" s="117">
        <f t="shared" si="0"/>
        <v>45044</v>
      </c>
      <c r="J21" s="68">
        <f t="shared" si="4"/>
        <v>0</v>
      </c>
      <c r="K21" s="67">
        <f t="shared" si="5"/>
        <v>493.15068493150682</v>
      </c>
      <c r="L21" s="21">
        <f t="shared" si="6"/>
        <v>493.15068493150682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2:142" ht="12.75" customHeight="1" x14ac:dyDescent="0.2">
      <c r="I22" s="117">
        <f t="shared" si="0"/>
        <v>45135</v>
      </c>
      <c r="J22" s="68">
        <f t="shared" si="4"/>
        <v>33000</v>
      </c>
      <c r="K22" s="67">
        <f t="shared" si="5"/>
        <v>498.63013698630135</v>
      </c>
      <c r="L22" s="21">
        <f t="shared" si="6"/>
        <v>33498.630136986299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2:142" ht="12.75" customHeight="1" x14ac:dyDescent="0.2">
      <c r="I23" s="117">
        <f t="shared" si="0"/>
        <v>45227</v>
      </c>
      <c r="J23" s="68">
        <f>+$O$13*K37/100</f>
        <v>33000</v>
      </c>
      <c r="K23" s="67">
        <f>+$O$13*J37/100</f>
        <v>337.75342465753425</v>
      </c>
      <c r="L23" s="21">
        <f t="shared" si="3"/>
        <v>33337.753424657538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2:142" ht="12.75" customHeight="1" x14ac:dyDescent="0.2">
      <c r="I24" s="117">
        <f>+F38</f>
        <v>45319</v>
      </c>
      <c r="J24" s="68">
        <f>+$O$13*K38/100</f>
        <v>34000</v>
      </c>
      <c r="K24" s="67">
        <f>+$O$13*J38/100</f>
        <v>171.39726027397262</v>
      </c>
      <c r="L24" s="21">
        <f t="shared" si="3"/>
        <v>34171.397260273974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2:142" ht="12.75" customHeight="1" x14ac:dyDescent="0.2">
      <c r="I25" s="118" t="s">
        <v>13</v>
      </c>
      <c r="J25" s="119">
        <f>SUM(J17:J24)</f>
        <v>100000</v>
      </c>
      <c r="K25" s="119">
        <f>SUM(K17:K24)</f>
        <v>3500.9315068493152</v>
      </c>
      <c r="L25" s="120">
        <f>SUM(J25:K25)</f>
        <v>103500.93150684932</v>
      </c>
      <c r="M25" s="8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2:142" x14ac:dyDescent="0.2">
      <c r="G26" s="46"/>
      <c r="H26" s="6"/>
      <c r="I26" s="6"/>
      <c r="L26" s="7"/>
      <c r="M26" s="8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2:142" ht="14.25" customHeight="1" x14ac:dyDescent="0.2">
      <c r="F27" s="104" t="s">
        <v>18</v>
      </c>
      <c r="G27" s="105" t="s">
        <v>36</v>
      </c>
      <c r="H27" s="105" t="s">
        <v>14</v>
      </c>
      <c r="I27" s="105" t="s">
        <v>22</v>
      </c>
      <c r="J27" s="106" t="s">
        <v>21</v>
      </c>
      <c r="K27" s="106" t="s">
        <v>5</v>
      </c>
      <c r="L27" s="106" t="s">
        <v>15</v>
      </c>
      <c r="M27" s="107" t="s">
        <v>6</v>
      </c>
      <c r="N27" s="108" t="s">
        <v>16</v>
      </c>
      <c r="Q27" s="9" t="s">
        <v>20</v>
      </c>
      <c r="R27" s="9" t="s">
        <v>7</v>
      </c>
      <c r="S27" s="9" t="s">
        <v>8</v>
      </c>
      <c r="T27" s="9" t="s">
        <v>9</v>
      </c>
      <c r="U27" s="9" t="s">
        <v>10</v>
      </c>
      <c r="V27" s="9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2:142" x14ac:dyDescent="0.2">
      <c r="F28" s="109"/>
      <c r="G28" s="110"/>
      <c r="H28" s="110"/>
      <c r="I28" s="110"/>
      <c r="J28" s="111"/>
      <c r="K28" s="111"/>
      <c r="L28" s="111"/>
      <c r="M28" s="112"/>
      <c r="N28" s="113"/>
      <c r="Q28" s="10"/>
      <c r="R28" s="11">
        <f>+K10</f>
        <v>2.0150557160377506E-2</v>
      </c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2:142" x14ac:dyDescent="0.2">
      <c r="B29" s="1" t="s">
        <v>23</v>
      </c>
      <c r="F29" s="70"/>
      <c r="G29" s="50"/>
      <c r="H29" s="50"/>
      <c r="I29" s="20">
        <f>+I30</f>
        <v>0.02</v>
      </c>
      <c r="J29" s="51"/>
      <c r="K29" s="51"/>
      <c r="L29" s="52">
        <f>+L30</f>
        <v>100</v>
      </c>
      <c r="M29" s="53"/>
      <c r="N29" s="71"/>
      <c r="Q29" s="10"/>
      <c r="R29" s="11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2:142" s="12" customFormat="1" ht="12.75" customHeight="1" x14ac:dyDescent="0.2">
      <c r="B30" s="30">
        <f>+G10</f>
        <v>44589</v>
      </c>
      <c r="C30" s="32"/>
      <c r="D30" s="30">
        <f>+G14</f>
        <v>44589</v>
      </c>
      <c r="E30" s="39">
        <f>+G10</f>
        <v>44589</v>
      </c>
      <c r="F30" s="59">
        <f>+E30</f>
        <v>44589</v>
      </c>
      <c r="G30" s="60"/>
      <c r="H30" s="60"/>
      <c r="I30" s="61">
        <f t="shared" ref="I30:I38" si="7">+$O$14</f>
        <v>0.02</v>
      </c>
      <c r="J30" s="60"/>
      <c r="K30" s="60"/>
      <c r="L30" s="62">
        <v>100</v>
      </c>
      <c r="M30" s="62">
        <f>-O12*100</f>
        <v>-100</v>
      </c>
      <c r="N30" s="63">
        <f>+O13*-1</f>
        <v>-100000</v>
      </c>
      <c r="O30" s="1"/>
      <c r="P30" s="1"/>
      <c r="Q30" s="16">
        <f t="shared" ref="Q30:Q39" si="8">H30/365</f>
        <v>0</v>
      </c>
      <c r="R30" s="16">
        <f t="shared" ref="R30:R39" si="9">1/(1+$K$10)^(H30/365)</f>
        <v>1</v>
      </c>
      <c r="S30" s="17">
        <f t="shared" ref="S30:S38" si="10">+M30</f>
        <v>-100</v>
      </c>
      <c r="T30" s="17">
        <f t="shared" ref="T30:T38" si="11">+S30*R30</f>
        <v>-100</v>
      </c>
      <c r="U30" s="17">
        <f t="shared" ref="U30:U38" si="12">+T30*Q30</f>
        <v>0</v>
      </c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</row>
    <row r="31" spans="2:142" s="12" customFormat="1" ht="12.75" customHeight="1" x14ac:dyDescent="0.2">
      <c r="B31" s="30">
        <v>44679</v>
      </c>
      <c r="C31" s="32">
        <f t="shared" ref="C31:C38" si="13">+B31-B30</f>
        <v>90</v>
      </c>
      <c r="D31" s="30">
        <f t="shared" ref="D31:D32" si="14">+F31</f>
        <v>44679</v>
      </c>
      <c r="E31" s="39">
        <f t="shared" ref="E31:E32" si="15">+E30+C31</f>
        <v>44679</v>
      </c>
      <c r="F31" s="42">
        <f t="shared" ref="F31:F38" si="16">+E31</f>
        <v>44679</v>
      </c>
      <c r="G31" s="43">
        <f t="shared" ref="G31:G38" si="17">+E31-E30</f>
        <v>90</v>
      </c>
      <c r="H31" s="43">
        <f t="shared" ref="H31:H38" si="18">+IF(F31-$G$14&lt;0,0,F31-$G$14)</f>
        <v>90</v>
      </c>
      <c r="I31" s="41">
        <f t="shared" si="7"/>
        <v>0.02</v>
      </c>
      <c r="J31" s="44">
        <f t="shared" ref="J31:J38" si="19">+I31/365*G31*L30</f>
        <v>0.49315068493150682</v>
      </c>
      <c r="K31" s="45">
        <v>0</v>
      </c>
      <c r="L31" s="45">
        <f t="shared" ref="L31:L38" si="20">+L30-K31</f>
        <v>100</v>
      </c>
      <c r="M31" s="45">
        <f t="shared" ref="M31:M38" si="21">+IF(F31&gt;$G$14,J31+K31,0)</f>
        <v>0.49315068493150682</v>
      </c>
      <c r="N31" s="47">
        <f t="shared" ref="N31:N38" si="22">+M31*$O$13/100</f>
        <v>493.15068493150682</v>
      </c>
      <c r="O31" s="1"/>
      <c r="P31" s="1"/>
      <c r="Q31" s="16">
        <f t="shared" si="8"/>
        <v>0.24657534246575341</v>
      </c>
      <c r="R31" s="16">
        <f t="shared" si="9"/>
        <v>0.99509284692007738</v>
      </c>
      <c r="S31" s="17">
        <f t="shared" si="10"/>
        <v>0.49315068493150682</v>
      </c>
      <c r="T31" s="17">
        <f t="shared" si="11"/>
        <v>0.49073071902907922</v>
      </c>
      <c r="U31" s="17">
        <f t="shared" si="12"/>
        <v>0.12100209510306062</v>
      </c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6"/>
      <c r="DX31" s="26"/>
      <c r="DY31" s="26"/>
      <c r="DZ31" s="26"/>
      <c r="EA31" s="26"/>
      <c r="EB31" s="26"/>
      <c r="EC31" s="26"/>
      <c r="ED31" s="26"/>
      <c r="EE31" s="26"/>
      <c r="EF31" s="26"/>
      <c r="EG31" s="26"/>
      <c r="EH31" s="26"/>
      <c r="EI31" s="26"/>
      <c r="EJ31" s="26"/>
      <c r="EK31" s="26"/>
      <c r="EL31" s="26"/>
    </row>
    <row r="32" spans="2:142" s="12" customFormat="1" ht="12.75" customHeight="1" x14ac:dyDescent="0.2">
      <c r="B32" s="30">
        <v>44770</v>
      </c>
      <c r="C32" s="32">
        <f t="shared" si="13"/>
        <v>91</v>
      </c>
      <c r="D32" s="30">
        <f t="shared" si="14"/>
        <v>44770</v>
      </c>
      <c r="E32" s="39">
        <f t="shared" si="15"/>
        <v>44770</v>
      </c>
      <c r="F32" s="42">
        <f t="shared" si="16"/>
        <v>44770</v>
      </c>
      <c r="G32" s="43">
        <f t="shared" si="17"/>
        <v>91</v>
      </c>
      <c r="H32" s="43">
        <f t="shared" si="18"/>
        <v>181</v>
      </c>
      <c r="I32" s="41">
        <f t="shared" si="7"/>
        <v>0.02</v>
      </c>
      <c r="J32" s="44">
        <f t="shared" si="19"/>
        <v>0.49863013698630138</v>
      </c>
      <c r="K32" s="45">
        <v>0</v>
      </c>
      <c r="L32" s="45">
        <f t="shared" si="20"/>
        <v>100</v>
      </c>
      <c r="M32" s="45">
        <f t="shared" si="21"/>
        <v>0.49863013698630138</v>
      </c>
      <c r="N32" s="47">
        <f t="shared" si="22"/>
        <v>498.63013698630135</v>
      </c>
      <c r="O32" s="1"/>
      <c r="P32" s="1"/>
      <c r="Q32" s="16">
        <f t="shared" si="8"/>
        <v>0.49589041095890413</v>
      </c>
      <c r="R32" s="16">
        <f t="shared" si="9"/>
        <v>0.9901556524451689</v>
      </c>
      <c r="S32" s="17">
        <f t="shared" si="10"/>
        <v>0.49863013698630138</v>
      </c>
      <c r="T32" s="17">
        <f t="shared" si="11"/>
        <v>0.4937214486164952</v>
      </c>
      <c r="U32" s="17">
        <f t="shared" si="12"/>
        <v>0.24483173205365927</v>
      </c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</row>
    <row r="33" spans="2:142" s="12" customFormat="1" ht="12.75" customHeight="1" x14ac:dyDescent="0.2">
      <c r="B33" s="30">
        <v>44862</v>
      </c>
      <c r="C33" s="32">
        <f t="shared" si="13"/>
        <v>92</v>
      </c>
      <c r="D33" s="30">
        <f t="shared" ref="D33:D38" si="23">+F33</f>
        <v>44862</v>
      </c>
      <c r="E33" s="39">
        <f t="shared" ref="E33:E38" si="24">+E32+C33</f>
        <v>44862</v>
      </c>
      <c r="F33" s="42">
        <f t="shared" ref="F33:F36" si="25">+E33</f>
        <v>44862</v>
      </c>
      <c r="G33" s="43">
        <f t="shared" ref="G33:G36" si="26">+E33-E32</f>
        <v>92</v>
      </c>
      <c r="H33" s="43">
        <f t="shared" ref="H33:H36" si="27">+IF(F33-$G$14&lt;0,0,F33-$G$14)</f>
        <v>273</v>
      </c>
      <c r="I33" s="41">
        <f t="shared" si="7"/>
        <v>0.02</v>
      </c>
      <c r="J33" s="44">
        <f t="shared" ref="J33:J36" si="28">+I33/365*G33*L32</f>
        <v>0.50410958904109593</v>
      </c>
      <c r="K33" s="45">
        <v>0</v>
      </c>
      <c r="L33" s="45">
        <f t="shared" ref="L33:L36" si="29">+L32-K33</f>
        <v>100</v>
      </c>
      <c r="M33" s="45">
        <f t="shared" ref="M33:M36" si="30">+IF(F33&gt;$G$14,J33+K33,0)</f>
        <v>0.50410958904109593</v>
      </c>
      <c r="N33" s="47">
        <f t="shared" ref="N33:N36" si="31">+M33*$O$13/100</f>
        <v>504.10958904109589</v>
      </c>
      <c r="O33" s="1"/>
      <c r="P33" s="1"/>
      <c r="Q33" s="16">
        <f t="shared" ref="Q33:Q36" si="32">H33/365</f>
        <v>0.74794520547945209</v>
      </c>
      <c r="R33" s="16">
        <f t="shared" ref="R33:R36" si="33">1/(1+$K$10)^(H33/365)</f>
        <v>0.98518910398902271</v>
      </c>
      <c r="S33" s="17">
        <f t="shared" ref="S33:S36" si="34">+M33</f>
        <v>0.50410958904109593</v>
      </c>
      <c r="T33" s="17">
        <f t="shared" ref="T33:T36" si="35">+S33*R33</f>
        <v>0.49664327433967176</v>
      </c>
      <c r="U33" s="17">
        <f t="shared" ref="U33:U36" si="36">+T33*Q33</f>
        <v>0.37146195587597369</v>
      </c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</row>
    <row r="34" spans="2:142" s="12" customFormat="1" ht="12.75" customHeight="1" x14ac:dyDescent="0.2">
      <c r="B34" s="30">
        <v>44954</v>
      </c>
      <c r="C34" s="32">
        <f t="shared" si="13"/>
        <v>92</v>
      </c>
      <c r="D34" s="30">
        <f t="shared" si="23"/>
        <v>44954</v>
      </c>
      <c r="E34" s="39">
        <f t="shared" si="24"/>
        <v>44954</v>
      </c>
      <c r="F34" s="42">
        <f t="shared" si="25"/>
        <v>44954</v>
      </c>
      <c r="G34" s="43">
        <f t="shared" si="26"/>
        <v>92</v>
      </c>
      <c r="H34" s="43">
        <f t="shared" si="27"/>
        <v>365</v>
      </c>
      <c r="I34" s="41">
        <f t="shared" si="7"/>
        <v>0.02</v>
      </c>
      <c r="J34" s="44">
        <f t="shared" si="28"/>
        <v>0.50410958904109593</v>
      </c>
      <c r="K34" s="45">
        <v>0</v>
      </c>
      <c r="L34" s="45">
        <f t="shared" si="29"/>
        <v>100</v>
      </c>
      <c r="M34" s="45">
        <f t="shared" si="30"/>
        <v>0.50410958904109593</v>
      </c>
      <c r="N34" s="47">
        <f t="shared" si="31"/>
        <v>504.10958904109589</v>
      </c>
      <c r="O34" s="1"/>
      <c r="P34" s="1"/>
      <c r="Q34" s="16">
        <f t="shared" si="32"/>
        <v>1</v>
      </c>
      <c r="R34" s="16">
        <f t="shared" si="33"/>
        <v>0.98024746737729851</v>
      </c>
      <c r="S34" s="17">
        <f t="shared" si="34"/>
        <v>0.50410958904109593</v>
      </c>
      <c r="T34" s="17">
        <f t="shared" si="35"/>
        <v>0.49415214793814505</v>
      </c>
      <c r="U34" s="17">
        <f t="shared" si="36"/>
        <v>0.49415214793814505</v>
      </c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2" customFormat="1" ht="12.75" customHeight="1" x14ac:dyDescent="0.2">
      <c r="B35" s="30">
        <v>45044</v>
      </c>
      <c r="C35" s="32">
        <f t="shared" si="13"/>
        <v>90</v>
      </c>
      <c r="D35" s="30">
        <f t="shared" si="23"/>
        <v>45044</v>
      </c>
      <c r="E35" s="39">
        <f t="shared" si="24"/>
        <v>45044</v>
      </c>
      <c r="F35" s="42">
        <f t="shared" si="25"/>
        <v>45044</v>
      </c>
      <c r="G35" s="43">
        <f t="shared" si="26"/>
        <v>90</v>
      </c>
      <c r="H35" s="43">
        <f t="shared" si="27"/>
        <v>455</v>
      </c>
      <c r="I35" s="41">
        <f t="shared" si="7"/>
        <v>0.02</v>
      </c>
      <c r="J35" s="44">
        <f t="shared" si="28"/>
        <v>0.49315068493150682</v>
      </c>
      <c r="K35" s="45">
        <v>0</v>
      </c>
      <c r="L35" s="45">
        <f t="shared" si="29"/>
        <v>100</v>
      </c>
      <c r="M35" s="45">
        <f t="shared" si="30"/>
        <v>0.49315068493150682</v>
      </c>
      <c r="N35" s="47">
        <f t="shared" si="31"/>
        <v>493.15068493150682</v>
      </c>
      <c r="O35" s="1"/>
      <c r="P35" s="1"/>
      <c r="Q35" s="16">
        <f t="shared" si="32"/>
        <v>1.2465753424657535</v>
      </c>
      <c r="R35" s="16">
        <f t="shared" si="33"/>
        <v>0.97543724299867163</v>
      </c>
      <c r="S35" s="17">
        <f t="shared" si="34"/>
        <v>0.49315068493150682</v>
      </c>
      <c r="T35" s="17">
        <f t="shared" si="35"/>
        <v>0.48103754449249558</v>
      </c>
      <c r="U35" s="17">
        <f t="shared" si="36"/>
        <v>0.59964954176461782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2" customFormat="1" ht="12.75" customHeight="1" x14ac:dyDescent="0.2">
      <c r="B36" s="30">
        <v>45135</v>
      </c>
      <c r="C36" s="32">
        <f t="shared" si="13"/>
        <v>91</v>
      </c>
      <c r="D36" s="30">
        <f t="shared" si="23"/>
        <v>45135</v>
      </c>
      <c r="E36" s="39">
        <f t="shared" si="24"/>
        <v>45135</v>
      </c>
      <c r="F36" s="42">
        <f t="shared" si="25"/>
        <v>45135</v>
      </c>
      <c r="G36" s="43">
        <f t="shared" si="26"/>
        <v>91</v>
      </c>
      <c r="H36" s="43">
        <f t="shared" si="27"/>
        <v>546</v>
      </c>
      <c r="I36" s="41">
        <f t="shared" si="7"/>
        <v>0.02</v>
      </c>
      <c r="J36" s="44">
        <f t="shared" si="28"/>
        <v>0.49863013698630138</v>
      </c>
      <c r="K36" s="45">
        <v>33</v>
      </c>
      <c r="L36" s="45">
        <f t="shared" si="29"/>
        <v>67</v>
      </c>
      <c r="M36" s="45">
        <f t="shared" si="30"/>
        <v>33.4986301369863</v>
      </c>
      <c r="N36" s="47">
        <f t="shared" si="31"/>
        <v>33498.630136986299</v>
      </c>
      <c r="O36" s="1"/>
      <c r="P36" s="1"/>
      <c r="Q36" s="16">
        <f t="shared" si="32"/>
        <v>1.4958904109589042</v>
      </c>
      <c r="R36" s="16">
        <f t="shared" si="33"/>
        <v>0.97059757061869334</v>
      </c>
      <c r="S36" s="17">
        <f t="shared" si="34"/>
        <v>33.4986301369863</v>
      </c>
      <c r="T36" s="17">
        <f t="shared" si="35"/>
        <v>32.513689030013047</v>
      </c>
      <c r="U36" s="17">
        <f t="shared" si="36"/>
        <v>48.636915644896234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2" customFormat="1" ht="12.75" customHeight="1" x14ac:dyDescent="0.2">
      <c r="B37" s="30">
        <v>45227</v>
      </c>
      <c r="C37" s="32">
        <f t="shared" si="13"/>
        <v>92</v>
      </c>
      <c r="D37" s="30">
        <f t="shared" si="23"/>
        <v>45227</v>
      </c>
      <c r="E37" s="39">
        <f t="shared" si="24"/>
        <v>45227</v>
      </c>
      <c r="F37" s="42">
        <f t="shared" si="16"/>
        <v>45227</v>
      </c>
      <c r="G37" s="43">
        <f t="shared" si="17"/>
        <v>92</v>
      </c>
      <c r="H37" s="43">
        <f t="shared" si="18"/>
        <v>638</v>
      </c>
      <c r="I37" s="41">
        <f t="shared" si="7"/>
        <v>0.02</v>
      </c>
      <c r="J37" s="44">
        <f t="shared" si="19"/>
        <v>0.33775342465753427</v>
      </c>
      <c r="K37" s="45">
        <v>33</v>
      </c>
      <c r="L37" s="45">
        <f t="shared" si="20"/>
        <v>34</v>
      </c>
      <c r="M37" s="45">
        <f t="shared" si="21"/>
        <v>33.337753424657535</v>
      </c>
      <c r="N37" s="47">
        <f t="shared" si="22"/>
        <v>33337.753424657538</v>
      </c>
      <c r="O37" s="1"/>
      <c r="P37" s="1"/>
      <c r="Q37" s="16">
        <f t="shared" si="8"/>
        <v>1.747945205479452</v>
      </c>
      <c r="R37" s="16">
        <f t="shared" si="9"/>
        <v>0.96572912407294942</v>
      </c>
      <c r="S37" s="17">
        <f t="shared" si="10"/>
        <v>33.337753424657535</v>
      </c>
      <c r="T37" s="17">
        <f t="shared" si="11"/>
        <v>32.195239413354493</v>
      </c>
      <c r="U37" s="17">
        <f t="shared" si="12"/>
        <v>56.275514371836067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2" customFormat="1" ht="12.75" customHeight="1" x14ac:dyDescent="0.2">
      <c r="B38" s="30">
        <v>45319</v>
      </c>
      <c r="C38" s="32">
        <f t="shared" si="13"/>
        <v>92</v>
      </c>
      <c r="D38" s="30">
        <f t="shared" si="23"/>
        <v>45319</v>
      </c>
      <c r="E38" s="39">
        <f t="shared" si="24"/>
        <v>45319</v>
      </c>
      <c r="F38" s="54">
        <f t="shared" si="16"/>
        <v>45319</v>
      </c>
      <c r="G38" s="48">
        <f t="shared" si="17"/>
        <v>92</v>
      </c>
      <c r="H38" s="48">
        <f t="shared" si="18"/>
        <v>730</v>
      </c>
      <c r="I38" s="49">
        <f t="shared" si="7"/>
        <v>0.02</v>
      </c>
      <c r="J38" s="55">
        <f t="shared" si="19"/>
        <v>0.17139726027397262</v>
      </c>
      <c r="K38" s="56">
        <v>34</v>
      </c>
      <c r="L38" s="56">
        <f t="shared" si="20"/>
        <v>0</v>
      </c>
      <c r="M38" s="56">
        <f t="shared" si="21"/>
        <v>34.17139726027397</v>
      </c>
      <c r="N38" s="57">
        <f t="shared" si="22"/>
        <v>34171.397260273967</v>
      </c>
      <c r="O38" s="1"/>
      <c r="P38" s="1"/>
      <c r="Q38" s="16">
        <f t="shared" si="8"/>
        <v>2</v>
      </c>
      <c r="R38" s="16">
        <f t="shared" si="9"/>
        <v>0.9608850972996078</v>
      </c>
      <c r="S38" s="17">
        <f t="shared" si="10"/>
        <v>34.17139726027397</v>
      </c>
      <c r="T38" s="17">
        <f t="shared" si="11"/>
        <v>32.834786381301903</v>
      </c>
      <c r="U38" s="17">
        <f t="shared" si="12"/>
        <v>65.669572762603806</v>
      </c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ht="12.75" customHeight="1" x14ac:dyDescent="0.2">
      <c r="F39" s="40"/>
      <c r="G39" s="13"/>
      <c r="H39" s="15"/>
      <c r="I39" s="41"/>
      <c r="J39" s="14"/>
      <c r="K39" s="38"/>
      <c r="L39" s="15"/>
      <c r="M39" s="15"/>
      <c r="N39" s="37"/>
      <c r="Q39" s="1">
        <f t="shared" si="8"/>
        <v>0</v>
      </c>
      <c r="R39" s="1">
        <f t="shared" si="9"/>
        <v>1</v>
      </c>
      <c r="S39" s="1"/>
      <c r="T39" s="1"/>
      <c r="U39" s="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</row>
    <row r="40" spans="2:142" x14ac:dyDescent="0.2">
      <c r="F40" s="18"/>
      <c r="G40" s="13"/>
      <c r="H40" s="13"/>
      <c r="I40" s="13"/>
      <c r="J40" s="13"/>
      <c r="K40" s="22">
        <f>SUM(K31:K38)</f>
        <v>100</v>
      </c>
      <c r="L40" s="15"/>
      <c r="M40" s="15"/>
      <c r="N40" s="23">
        <f>SUM(N30:N38)</f>
        <v>3500.9315068493088</v>
      </c>
      <c r="Q40" s="19"/>
      <c r="R40" s="19"/>
      <c r="S40" s="17"/>
      <c r="T40" s="17">
        <f>SUM(T31:T38)</f>
        <v>99.999999959085329</v>
      </c>
      <c r="U40" s="17">
        <f>SUM(U31:U38)</f>
        <v>172.41310025207156</v>
      </c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</row>
    <row r="41" spans="2:142" x14ac:dyDescent="0.2"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</row>
    <row r="42" spans="2:142" x14ac:dyDescent="0.2">
      <c r="Q42" s="1"/>
      <c r="R42" s="1"/>
      <c r="S42" s="1"/>
      <c r="T42" s="1"/>
      <c r="U42" s="1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</row>
    <row r="43" spans="2:142" x14ac:dyDescent="0.2">
      <c r="Q43" s="1"/>
      <c r="R43" s="1"/>
      <c r="S43" s="1"/>
      <c r="T43" s="1"/>
      <c r="U43" s="1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</row>
    <row r="44" spans="2:142" x14ac:dyDescent="0.2">
      <c r="Q44" s="1"/>
      <c r="R44" s="1"/>
      <c r="S44" s="1"/>
      <c r="T44" s="1"/>
      <c r="U44" s="1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</row>
    <row r="45" spans="2:142" x14ac:dyDescent="0.2">
      <c r="Q45" s="1"/>
      <c r="R45" s="1"/>
      <c r="S45" s="1"/>
      <c r="T45" s="1"/>
      <c r="U45" s="1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</row>
    <row r="46" spans="2:142" ht="9.75" customHeight="1" x14ac:dyDescent="0.2">
      <c r="Q46" s="1"/>
      <c r="R46" s="1"/>
      <c r="S46" s="1"/>
      <c r="T46" s="1"/>
      <c r="U46" s="1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</row>
    <row r="47" spans="2:142" x14ac:dyDescent="0.2"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Q48" s="1"/>
      <c r="R48" s="1"/>
      <c r="S48" s="1"/>
      <c r="T48" s="1"/>
      <c r="U48" s="1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Q49" s="1"/>
      <c r="R49" s="1"/>
      <c r="S49" s="1"/>
      <c r="T49" s="1"/>
      <c r="U49" s="1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hidden="1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hidden="1" x14ac:dyDescent="0.2">
      <c r="G51" s="58"/>
      <c r="H51" s="58" t="s">
        <v>25</v>
      </c>
      <c r="I51" s="58"/>
      <c r="J51" s="58" t="s">
        <v>26</v>
      </c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hidden="1" x14ac:dyDescent="0.2">
      <c r="G52" s="58">
        <v>1</v>
      </c>
      <c r="H52" s="58"/>
      <c r="I52" s="58"/>
      <c r="J52" s="58"/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hidden="1" x14ac:dyDescent="0.2">
      <c r="G53" s="58">
        <v>2</v>
      </c>
      <c r="H53" s="58"/>
      <c r="I53" s="58"/>
      <c r="J53" s="58"/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idden="1" x14ac:dyDescent="0.2">
      <c r="G54" s="58">
        <v>3</v>
      </c>
      <c r="H54" s="58">
        <v>1</v>
      </c>
      <c r="I54" s="58"/>
      <c r="J54" s="58"/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hidden="1" x14ac:dyDescent="0.2">
      <c r="G55" s="58">
        <v>4</v>
      </c>
      <c r="H55" s="58"/>
      <c r="I55" s="58"/>
      <c r="J55" s="58"/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hidden="1" x14ac:dyDescent="0.2">
      <c r="G56" s="58">
        <v>5</v>
      </c>
      <c r="H56" s="58"/>
      <c r="I56" s="58"/>
      <c r="J56" s="58"/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hidden="1" x14ac:dyDescent="0.2">
      <c r="G57" s="58">
        <v>6</v>
      </c>
      <c r="H57" s="58">
        <v>2</v>
      </c>
      <c r="I57" s="58">
        <v>1</v>
      </c>
      <c r="J57" s="58"/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G58" s="58">
        <v>7</v>
      </c>
      <c r="H58" s="58"/>
      <c r="I58" s="58"/>
      <c r="J58" s="58"/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58">
        <v>8</v>
      </c>
      <c r="H59" s="58"/>
      <c r="I59" s="58"/>
      <c r="J59" s="58"/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58">
        <v>9</v>
      </c>
      <c r="H60" s="58">
        <v>3</v>
      </c>
      <c r="I60" s="58"/>
      <c r="J60" s="58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58">
        <v>10</v>
      </c>
      <c r="H61" s="58"/>
      <c r="I61" s="58"/>
      <c r="J61" s="58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58">
        <v>11</v>
      </c>
      <c r="H62" s="58"/>
      <c r="I62" s="58"/>
      <c r="J62" s="58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58">
        <v>12</v>
      </c>
      <c r="H63" s="58">
        <v>4</v>
      </c>
      <c r="I63" s="58">
        <v>2</v>
      </c>
      <c r="J63" s="58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58">
        <v>13</v>
      </c>
      <c r="H64" s="58"/>
      <c r="I64" s="58"/>
      <c r="J64" s="58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58">
        <v>14</v>
      </c>
      <c r="H65" s="58"/>
      <c r="I65" s="58"/>
      <c r="J65" s="58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58">
        <v>15</v>
      </c>
      <c r="H66" s="58">
        <v>5</v>
      </c>
      <c r="I66" s="58"/>
      <c r="J66" s="58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58">
        <v>16</v>
      </c>
      <c r="H67" s="58"/>
      <c r="I67" s="58"/>
      <c r="J67" s="58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58">
        <v>17</v>
      </c>
      <c r="H68" s="58"/>
      <c r="I68" s="58"/>
      <c r="J68" s="58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58">
        <v>18</v>
      </c>
      <c r="H69" s="58">
        <v>6</v>
      </c>
      <c r="I69" s="58">
        <v>3</v>
      </c>
      <c r="J69" s="58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58">
        <v>19</v>
      </c>
      <c r="H70" s="58"/>
      <c r="I70" s="58"/>
      <c r="J70" s="58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58">
        <v>20</v>
      </c>
      <c r="H71" s="58"/>
      <c r="I71" s="58"/>
      <c r="J71" s="58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58">
        <v>21</v>
      </c>
      <c r="H72" s="58">
        <v>7</v>
      </c>
      <c r="I72" s="58"/>
      <c r="J72" s="58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58">
        <v>22</v>
      </c>
      <c r="H73" s="58"/>
      <c r="I73" s="58"/>
      <c r="J73" s="58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58">
        <v>23</v>
      </c>
      <c r="H74" s="58"/>
      <c r="I74" s="58"/>
      <c r="J74" s="58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58">
        <v>24</v>
      </c>
      <c r="H75" s="58">
        <v>8</v>
      </c>
      <c r="I75" s="58">
        <v>4</v>
      </c>
      <c r="J75" s="58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58">
        <v>25</v>
      </c>
      <c r="H76" s="58"/>
      <c r="I76" s="58"/>
      <c r="J76" s="58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58">
        <v>26</v>
      </c>
      <c r="H77" s="58"/>
      <c r="I77" s="58"/>
      <c r="J77" s="58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58">
        <v>27</v>
      </c>
      <c r="H78" s="58">
        <v>9</v>
      </c>
      <c r="I78" s="58"/>
      <c r="J78" s="58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58">
        <v>28</v>
      </c>
      <c r="H79" s="58"/>
      <c r="I79" s="58"/>
      <c r="J79" s="58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58">
        <v>29</v>
      </c>
      <c r="H80" s="58"/>
      <c r="I80" s="58"/>
      <c r="J80" s="58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58">
        <v>30</v>
      </c>
      <c r="H81" s="58">
        <v>10</v>
      </c>
      <c r="I81" s="58">
        <v>5</v>
      </c>
      <c r="J81" s="58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58">
        <v>31</v>
      </c>
      <c r="H82" s="58"/>
      <c r="I82" s="58"/>
      <c r="J82" s="58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58">
        <v>32</v>
      </c>
      <c r="H83" s="58"/>
      <c r="I83" s="58"/>
      <c r="J83" s="58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58">
        <v>33</v>
      </c>
      <c r="H84" s="58">
        <v>11</v>
      </c>
      <c r="I84" s="58"/>
      <c r="J84" s="58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58">
        <v>34</v>
      </c>
      <c r="H85" s="58"/>
      <c r="I85" s="58"/>
      <c r="J85" s="58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58">
        <v>35</v>
      </c>
      <c r="H86" s="58"/>
      <c r="I86" s="58"/>
      <c r="J86" s="58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58">
        <v>36</v>
      </c>
      <c r="H87" s="58">
        <v>12</v>
      </c>
      <c r="I87" s="58">
        <v>6</v>
      </c>
      <c r="J87" s="58">
        <v>1</v>
      </c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58">
        <v>37</v>
      </c>
      <c r="H88" s="58"/>
      <c r="I88" s="58"/>
      <c r="J88" s="58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58">
        <v>38</v>
      </c>
      <c r="H89" s="58"/>
      <c r="I89" s="58"/>
      <c r="J89" s="58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58">
        <v>39</v>
      </c>
      <c r="H90" s="58">
        <v>13</v>
      </c>
      <c r="I90" s="58"/>
      <c r="J90" s="58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58">
        <v>40</v>
      </c>
      <c r="H91" s="58"/>
      <c r="I91" s="58"/>
      <c r="J91" s="58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58">
        <v>41</v>
      </c>
      <c r="H92" s="58"/>
      <c r="I92" s="58"/>
      <c r="J92" s="58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58">
        <v>42</v>
      </c>
      <c r="H93" s="58">
        <v>14</v>
      </c>
      <c r="I93" s="58">
        <v>7</v>
      </c>
      <c r="J93" s="58">
        <v>2</v>
      </c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58">
        <v>43</v>
      </c>
      <c r="H94" s="58"/>
      <c r="I94" s="58"/>
      <c r="J94" s="58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58">
        <v>44</v>
      </c>
      <c r="H95" s="58"/>
      <c r="I95" s="58"/>
      <c r="J95" s="58"/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58">
        <v>45</v>
      </c>
      <c r="H96" s="58">
        <v>15</v>
      </c>
      <c r="I96" s="58"/>
      <c r="J96" s="58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58">
        <v>46</v>
      </c>
      <c r="H97" s="58"/>
      <c r="I97" s="58"/>
      <c r="J97" s="58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58">
        <v>47</v>
      </c>
      <c r="H98" s="58"/>
      <c r="I98" s="58"/>
      <c r="J98" s="58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58">
        <v>48</v>
      </c>
      <c r="H99" s="58">
        <v>16</v>
      </c>
      <c r="I99" s="58">
        <v>8</v>
      </c>
      <c r="J99" s="58">
        <v>3</v>
      </c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58">
        <v>49</v>
      </c>
      <c r="H100" s="58"/>
      <c r="I100" s="58"/>
      <c r="J100" s="58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58">
        <v>50</v>
      </c>
      <c r="H101" s="58"/>
      <c r="I101" s="58"/>
      <c r="J101" s="58"/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58">
        <v>51</v>
      </c>
      <c r="H102" s="58">
        <v>17</v>
      </c>
      <c r="I102" s="58"/>
      <c r="J102" s="58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58">
        <v>52</v>
      </c>
      <c r="H103" s="58"/>
      <c r="I103" s="58"/>
      <c r="J103" s="58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58">
        <v>53</v>
      </c>
      <c r="H104" s="58"/>
      <c r="I104" s="58"/>
      <c r="J104" s="58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58">
        <v>54</v>
      </c>
      <c r="H105" s="58">
        <v>18</v>
      </c>
      <c r="I105" s="58">
        <v>9</v>
      </c>
      <c r="J105" s="58">
        <v>4</v>
      </c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58">
        <v>55</v>
      </c>
      <c r="H106" s="58"/>
      <c r="I106" s="58"/>
      <c r="J106" s="58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58">
        <v>56</v>
      </c>
      <c r="H107" s="58"/>
      <c r="I107" s="58"/>
      <c r="J107" s="58"/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58">
        <v>57</v>
      </c>
      <c r="H108" s="58">
        <v>19</v>
      </c>
      <c r="I108" s="58"/>
      <c r="J108" s="58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58">
        <v>58</v>
      </c>
      <c r="H109" s="58"/>
      <c r="I109" s="58"/>
      <c r="J109" s="58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58">
        <v>59</v>
      </c>
      <c r="H110" s="58"/>
      <c r="I110" s="58"/>
      <c r="J110" s="58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58">
        <v>60</v>
      </c>
      <c r="H111" s="58">
        <v>20</v>
      </c>
      <c r="I111" s="58">
        <v>10</v>
      </c>
      <c r="J111" s="58">
        <v>5</v>
      </c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17:142" x14ac:dyDescent="0.2"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17:142" x14ac:dyDescent="0.2"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17:142" x14ac:dyDescent="0.2"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17:142" x14ac:dyDescent="0.2"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17:142" x14ac:dyDescent="0.2"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17:142" x14ac:dyDescent="0.2"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17:142" x14ac:dyDescent="0.2"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17:142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1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1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1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1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1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1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1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1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</sheetData>
  <sheetProtection selectLockedCells="1"/>
  <mergeCells count="35">
    <mergeCell ref="F8:P8"/>
    <mergeCell ref="G10:H10"/>
    <mergeCell ref="I10:J10"/>
    <mergeCell ref="K10:L10"/>
    <mergeCell ref="M10:N10"/>
    <mergeCell ref="O10:P10"/>
    <mergeCell ref="G12:H12"/>
    <mergeCell ref="I12:J12"/>
    <mergeCell ref="K12:L12"/>
    <mergeCell ref="M12:N12"/>
    <mergeCell ref="O12:P12"/>
    <mergeCell ref="G11:H11"/>
    <mergeCell ref="I11:J11"/>
    <mergeCell ref="K11:L11"/>
    <mergeCell ref="M11:N11"/>
    <mergeCell ref="O11:P11"/>
    <mergeCell ref="G14:H14"/>
    <mergeCell ref="I14:J14"/>
    <mergeCell ref="K14:L14"/>
    <mergeCell ref="M14:N14"/>
    <mergeCell ref="O14:P14"/>
    <mergeCell ref="G13:H13"/>
    <mergeCell ref="I13:J13"/>
    <mergeCell ref="K13:L13"/>
    <mergeCell ref="M13:N13"/>
    <mergeCell ref="O13:P13"/>
    <mergeCell ref="L27:L28"/>
    <mergeCell ref="M27:M28"/>
    <mergeCell ref="N27:N28"/>
    <mergeCell ref="F27:F28"/>
    <mergeCell ref="G27:G28"/>
    <mergeCell ref="H27:H28"/>
    <mergeCell ref="I27:I28"/>
    <mergeCell ref="J27:J28"/>
    <mergeCell ref="K27:K28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0" min="3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6">
        <v>43101</v>
      </c>
    </row>
    <row r="2" spans="2:2" x14ac:dyDescent="0.2">
      <c r="B2" s="36">
        <v>43143</v>
      </c>
    </row>
    <row r="3" spans="2:2" x14ac:dyDescent="0.2">
      <c r="B3" s="36">
        <v>43144</v>
      </c>
    </row>
    <row r="4" spans="2:2" x14ac:dyDescent="0.2">
      <c r="B4" s="36">
        <v>43188</v>
      </c>
    </row>
    <row r="5" spans="2:2" x14ac:dyDescent="0.2">
      <c r="B5" s="36">
        <v>43189</v>
      </c>
    </row>
    <row r="6" spans="2:2" x14ac:dyDescent="0.2">
      <c r="B6" s="36">
        <v>43192</v>
      </c>
    </row>
    <row r="7" spans="2:2" x14ac:dyDescent="0.2">
      <c r="B7" s="36">
        <v>43220</v>
      </c>
    </row>
    <row r="8" spans="2:2" x14ac:dyDescent="0.2">
      <c r="B8" s="36">
        <v>43221</v>
      </c>
    </row>
    <row r="9" spans="2:2" x14ac:dyDescent="0.2">
      <c r="B9" s="36">
        <v>43245</v>
      </c>
    </row>
    <row r="10" spans="2:2" x14ac:dyDescent="0.2">
      <c r="B10" s="36">
        <v>43271</v>
      </c>
    </row>
    <row r="11" spans="2:2" x14ac:dyDescent="0.2">
      <c r="B11" s="36">
        <v>43290</v>
      </c>
    </row>
    <row r="12" spans="2:2" x14ac:dyDescent="0.2">
      <c r="B12" s="36">
        <v>43332</v>
      </c>
    </row>
    <row r="13" spans="2:2" x14ac:dyDescent="0.2">
      <c r="B13" s="36">
        <v>43388</v>
      </c>
    </row>
    <row r="14" spans="2:2" x14ac:dyDescent="0.2">
      <c r="B14" s="36">
        <v>43410</v>
      </c>
    </row>
    <row r="15" spans="2:2" x14ac:dyDescent="0.2">
      <c r="B15" s="36">
        <v>43423</v>
      </c>
    </row>
    <row r="16" spans="2:2" x14ac:dyDescent="0.2">
      <c r="B16" s="36">
        <v>43434</v>
      </c>
    </row>
    <row r="17" spans="2:2" x14ac:dyDescent="0.2">
      <c r="B17" s="36">
        <v>43442</v>
      </c>
    </row>
    <row r="18" spans="2:2" x14ac:dyDescent="0.2">
      <c r="B18" s="36">
        <v>43458</v>
      </c>
    </row>
    <row r="19" spans="2:2" x14ac:dyDescent="0.2">
      <c r="B19" s="36">
        <v>43459</v>
      </c>
    </row>
    <row r="20" spans="2:2" x14ac:dyDescent="0.2">
      <c r="B20" s="36">
        <v>43465</v>
      </c>
    </row>
    <row r="21" spans="2:2" x14ac:dyDescent="0.2">
      <c r="B21" s="36">
        <v>43466</v>
      </c>
    </row>
    <row r="22" spans="2:2" x14ac:dyDescent="0.2">
      <c r="B22" s="36">
        <v>43528</v>
      </c>
    </row>
    <row r="23" spans="2:2" x14ac:dyDescent="0.2">
      <c r="B23" s="36">
        <v>43529</v>
      </c>
    </row>
    <row r="24" spans="2:2" x14ac:dyDescent="0.2">
      <c r="B24" s="36">
        <v>43548</v>
      </c>
    </row>
    <row r="25" spans="2:2" x14ac:dyDescent="0.2">
      <c r="B25" s="36">
        <v>43557</v>
      </c>
    </row>
    <row r="26" spans="2:2" x14ac:dyDescent="0.2">
      <c r="B26" s="36">
        <v>43573</v>
      </c>
    </row>
    <row r="27" spans="2:2" x14ac:dyDescent="0.2">
      <c r="B27" s="36">
        <v>43574</v>
      </c>
    </row>
    <row r="28" spans="2:2" x14ac:dyDescent="0.2">
      <c r="B28" s="36">
        <v>43586</v>
      </c>
    </row>
    <row r="29" spans="2:2" x14ac:dyDescent="0.2">
      <c r="B29" s="36">
        <v>43610</v>
      </c>
    </row>
    <row r="30" spans="2:2" x14ac:dyDescent="0.2">
      <c r="B30" s="36">
        <v>43633</v>
      </c>
    </row>
    <row r="31" spans="2:2" x14ac:dyDescent="0.2">
      <c r="B31" s="36">
        <v>43636</v>
      </c>
    </row>
    <row r="32" spans="2:2" x14ac:dyDescent="0.2">
      <c r="B32" s="36">
        <v>43654</v>
      </c>
    </row>
    <row r="33" spans="2:2" x14ac:dyDescent="0.2">
      <c r="B33" s="36">
        <v>43655</v>
      </c>
    </row>
    <row r="34" spans="2:2" x14ac:dyDescent="0.2">
      <c r="B34" s="36">
        <v>43696</v>
      </c>
    </row>
    <row r="35" spans="2:2" x14ac:dyDescent="0.2">
      <c r="B35" s="36">
        <v>43752</v>
      </c>
    </row>
    <row r="36" spans="2:2" x14ac:dyDescent="0.2">
      <c r="B36" s="36">
        <v>43775</v>
      </c>
    </row>
    <row r="37" spans="2:2" x14ac:dyDescent="0.2">
      <c r="B37" s="36">
        <v>43787</v>
      </c>
    </row>
    <row r="38" spans="2:2" x14ac:dyDescent="0.2">
      <c r="B38" s="36">
        <v>43823</v>
      </c>
    </row>
    <row r="39" spans="2:2" x14ac:dyDescent="0.2">
      <c r="B39" s="36">
        <v>43824</v>
      </c>
    </row>
    <row r="40" spans="2:2" x14ac:dyDescent="0.2">
      <c r="B40" s="36">
        <v>43830</v>
      </c>
    </row>
    <row r="41" spans="2:2" x14ac:dyDescent="0.2">
      <c r="B41" s="36">
        <v>43831</v>
      </c>
    </row>
    <row r="42" spans="2:2" x14ac:dyDescent="0.2">
      <c r="B42" s="36">
        <v>43885</v>
      </c>
    </row>
    <row r="43" spans="2:2" x14ac:dyDescent="0.2">
      <c r="B43" s="36">
        <v>43886</v>
      </c>
    </row>
    <row r="44" spans="2:2" x14ac:dyDescent="0.2">
      <c r="B44" s="36">
        <v>43913</v>
      </c>
    </row>
    <row r="45" spans="2:2" x14ac:dyDescent="0.2">
      <c r="B45" s="36">
        <v>43914</v>
      </c>
    </row>
    <row r="46" spans="2:2" x14ac:dyDescent="0.2">
      <c r="B46" s="36">
        <v>43923</v>
      </c>
    </row>
    <row r="47" spans="2:2" x14ac:dyDescent="0.2">
      <c r="B47" s="36">
        <v>43930</v>
      </c>
    </row>
    <row r="48" spans="2:2" x14ac:dyDescent="0.2">
      <c r="B48" s="36">
        <v>43931</v>
      </c>
    </row>
    <row r="49" spans="2:2" x14ac:dyDescent="0.2">
      <c r="B49" s="36">
        <v>43952</v>
      </c>
    </row>
    <row r="50" spans="2:2" x14ac:dyDescent="0.2">
      <c r="B50" s="36">
        <v>43976</v>
      </c>
    </row>
    <row r="51" spans="2:2" x14ac:dyDescent="0.2">
      <c r="B51" s="36">
        <v>43997</v>
      </c>
    </row>
    <row r="52" spans="2:2" x14ac:dyDescent="0.2">
      <c r="B52" s="36">
        <v>44002</v>
      </c>
    </row>
    <row r="53" spans="2:2" x14ac:dyDescent="0.2">
      <c r="B53" s="36">
        <v>44021</v>
      </c>
    </row>
    <row r="54" spans="2:2" x14ac:dyDescent="0.2">
      <c r="B54" s="36">
        <v>44022</v>
      </c>
    </row>
    <row r="55" spans="2:2" x14ac:dyDescent="0.2">
      <c r="B55" s="36">
        <v>44060</v>
      </c>
    </row>
    <row r="56" spans="2:2" x14ac:dyDescent="0.2">
      <c r="B56" s="36">
        <v>44116</v>
      </c>
    </row>
    <row r="57" spans="2:2" x14ac:dyDescent="0.2">
      <c r="B57" s="36">
        <v>44141</v>
      </c>
    </row>
    <row r="58" spans="2:2" x14ac:dyDescent="0.2">
      <c r="B58" s="36">
        <v>44158</v>
      </c>
    </row>
    <row r="59" spans="2:2" x14ac:dyDescent="0.2">
      <c r="B59" s="36">
        <v>44172</v>
      </c>
    </row>
    <row r="60" spans="2:2" x14ac:dyDescent="0.2">
      <c r="B60" s="36">
        <v>44173</v>
      </c>
    </row>
    <row r="61" spans="2:2" x14ac:dyDescent="0.2">
      <c r="B61" s="36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3">
        <v>43202</v>
      </c>
    </row>
    <row r="2" spans="1:4" x14ac:dyDescent="0.2">
      <c r="A2" s="33">
        <v>43200</v>
      </c>
      <c r="B2">
        <v>1</v>
      </c>
      <c r="D2">
        <f>+IF(A1&lt;A2,B2,(IF(A1&lt;A3,B3,0)))</f>
        <v>2</v>
      </c>
    </row>
    <row r="3" spans="1:4" x14ac:dyDescent="0.2">
      <c r="A3" s="33">
        <v>43230</v>
      </c>
      <c r="B3">
        <v>2</v>
      </c>
    </row>
    <row r="4" spans="1:4" x14ac:dyDescent="0.2">
      <c r="A4" s="33">
        <v>43261</v>
      </c>
      <c r="B4">
        <v>3</v>
      </c>
    </row>
    <row r="5" spans="1:4" x14ac:dyDescent="0.2">
      <c r="A5" s="33">
        <v>43291</v>
      </c>
      <c r="B5">
        <v>4</v>
      </c>
    </row>
    <row r="6" spans="1:4" x14ac:dyDescent="0.2">
      <c r="A6" s="33">
        <v>43322</v>
      </c>
      <c r="B6">
        <v>5</v>
      </c>
    </row>
    <row r="7" spans="1:4" x14ac:dyDescent="0.2">
      <c r="A7" s="33">
        <v>43353</v>
      </c>
      <c r="B7">
        <v>6</v>
      </c>
    </row>
    <row r="8" spans="1:4" x14ac:dyDescent="0.2">
      <c r="A8" s="33">
        <v>43383</v>
      </c>
      <c r="B8">
        <v>7</v>
      </c>
    </row>
    <row r="9" spans="1:4" x14ac:dyDescent="0.2">
      <c r="A9" s="33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CLASE I</vt:lpstr>
      <vt:lpstr>CLASE II</vt:lpstr>
      <vt:lpstr>Feriados</vt:lpstr>
      <vt:lpstr>Hoja2</vt:lpstr>
      <vt:lpstr>'CLASE I'!Área_de_impresión</vt:lpstr>
      <vt:lpstr>'CLASE II'!Área_de_impresión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2022-01-25T14:23:12Z</dcterms:modified>
</cp:coreProperties>
</file>