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JEWELL AGRONEGOCIOS\Difusión\"/>
    </mc:Choice>
  </mc:AlternateContent>
  <bookViews>
    <workbookView xWindow="0" yWindow="0" windowWidth="25200" windowHeight="11490"/>
  </bookViews>
  <sheets>
    <sheet name="CLASE I" sheetId="12" r:id="rId1"/>
    <sheet name="CLASE II" sheetId="10" r:id="rId2"/>
    <sheet name="Feriados" sheetId="5" state="hidden" r:id="rId3"/>
    <sheet name="Hoja2" sheetId="7" state="hidden" r:id="rId4"/>
  </sheets>
  <definedNames>
    <definedName name="_xlnm.Print_Area" localSheetId="0">'CLASE I'!$D$1:$P$50</definedName>
    <definedName name="_xlnm.Print_Area" localSheetId="1">'CLASE II'!$D$1:$P$50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2" l="1"/>
  <c r="O38" i="12"/>
  <c r="I38" i="12" s="1"/>
  <c r="O33" i="12"/>
  <c r="I33" i="12" s="1"/>
  <c r="O34" i="12"/>
  <c r="I34" i="12" s="1"/>
  <c r="O35" i="12"/>
  <c r="O36" i="12"/>
  <c r="I36" i="12" s="1"/>
  <c r="O37" i="12"/>
  <c r="I37" i="12" s="1"/>
  <c r="O32" i="12"/>
  <c r="I32" i="12" s="1"/>
  <c r="I35" i="12"/>
  <c r="I31" i="12"/>
  <c r="K40" i="12" l="1"/>
  <c r="Q39" i="12"/>
  <c r="C38" i="12"/>
  <c r="C37" i="12"/>
  <c r="C36" i="12"/>
  <c r="C35" i="12"/>
  <c r="C34" i="12"/>
  <c r="C33" i="12"/>
  <c r="C32" i="12"/>
  <c r="L31" i="12"/>
  <c r="L32" i="12" s="1"/>
  <c r="L33" i="12" s="1"/>
  <c r="L34" i="12" s="1"/>
  <c r="L35" i="12" s="1"/>
  <c r="L36" i="12" s="1"/>
  <c r="L37" i="12" s="1"/>
  <c r="L38" i="12" s="1"/>
  <c r="Q30" i="12"/>
  <c r="N30" i="12"/>
  <c r="M30" i="12"/>
  <c r="S30" i="12" s="1"/>
  <c r="I30" i="12"/>
  <c r="I29" i="12" s="1"/>
  <c r="E30" i="12"/>
  <c r="F30" i="12" s="1"/>
  <c r="B30" i="12"/>
  <c r="C31" i="12" s="1"/>
  <c r="L29" i="12"/>
  <c r="J24" i="12"/>
  <c r="J23" i="12"/>
  <c r="J22" i="12"/>
  <c r="J21" i="12"/>
  <c r="J20" i="12"/>
  <c r="J19" i="12"/>
  <c r="J18" i="12"/>
  <c r="J17" i="12"/>
  <c r="D30" i="12"/>
  <c r="I19" i="10"/>
  <c r="I20" i="10"/>
  <c r="I21" i="10"/>
  <c r="I22" i="10"/>
  <c r="I23" i="10"/>
  <c r="J19" i="10"/>
  <c r="J20" i="10"/>
  <c r="J21" i="10"/>
  <c r="J22" i="10"/>
  <c r="I33" i="10"/>
  <c r="I34" i="10"/>
  <c r="I35" i="10"/>
  <c r="I36" i="10"/>
  <c r="I37" i="10"/>
  <c r="I38" i="10"/>
  <c r="C33" i="10"/>
  <c r="C34" i="10"/>
  <c r="C35" i="10"/>
  <c r="C36" i="10"/>
  <c r="C37" i="10"/>
  <c r="C38" i="10"/>
  <c r="J25" i="12" l="1"/>
  <c r="E31" i="12"/>
  <c r="G31" i="12" l="1"/>
  <c r="J31" i="12" s="1"/>
  <c r="K17" i="12" s="1"/>
  <c r="E32" i="12"/>
  <c r="F31" i="12"/>
  <c r="L17" i="12" l="1"/>
  <c r="M31" i="12"/>
  <c r="N31" i="12" s="1"/>
  <c r="H31" i="12"/>
  <c r="Q31" i="12" s="1"/>
  <c r="D31" i="12"/>
  <c r="I17" i="12"/>
  <c r="E33" i="12"/>
  <c r="G32" i="12"/>
  <c r="J32" i="12" s="1"/>
  <c r="K18" i="12" s="1"/>
  <c r="L18" i="12" s="1"/>
  <c r="F32" i="12"/>
  <c r="G33" i="12" l="1"/>
  <c r="J33" i="12" s="1"/>
  <c r="K19" i="12" s="1"/>
  <c r="E34" i="12"/>
  <c r="F33" i="12"/>
  <c r="S31" i="12"/>
  <c r="M32" i="12"/>
  <c r="N32" i="12" s="1"/>
  <c r="H32" i="12"/>
  <c r="Q32" i="12" s="1"/>
  <c r="D32" i="12"/>
  <c r="I18" i="12"/>
  <c r="L19" i="12" l="1"/>
  <c r="M33" i="12"/>
  <c r="N33" i="12" s="1"/>
  <c r="H33" i="12"/>
  <c r="Q33" i="12" s="1"/>
  <c r="D33" i="12"/>
  <c r="I19" i="12"/>
  <c r="S32" i="12"/>
  <c r="G34" i="12"/>
  <c r="J34" i="12" s="1"/>
  <c r="K20" i="12" s="1"/>
  <c r="L20" i="12" s="1"/>
  <c r="F34" i="12"/>
  <c r="E35" i="12"/>
  <c r="G35" i="12" l="1"/>
  <c r="J35" i="12" s="1"/>
  <c r="K21" i="12" s="1"/>
  <c r="L21" i="12" s="1"/>
  <c r="F35" i="12"/>
  <c r="E36" i="12"/>
  <c r="S33" i="12"/>
  <c r="M34" i="12"/>
  <c r="N34" i="12" s="1"/>
  <c r="H34" i="12"/>
  <c r="Q34" i="12" s="1"/>
  <c r="D34" i="12"/>
  <c r="I20" i="12"/>
  <c r="S34" i="12" l="1"/>
  <c r="M35" i="12"/>
  <c r="N35" i="12" s="1"/>
  <c r="H35" i="12"/>
  <c r="Q35" i="12" s="1"/>
  <c r="D35" i="12"/>
  <c r="I21" i="12"/>
  <c r="G36" i="12"/>
  <c r="J36" i="12" s="1"/>
  <c r="K22" i="12" s="1"/>
  <c r="F36" i="12"/>
  <c r="E37" i="12"/>
  <c r="M36" i="12" l="1"/>
  <c r="N36" i="12" s="1"/>
  <c r="H36" i="12"/>
  <c r="Q36" i="12" s="1"/>
  <c r="D36" i="12"/>
  <c r="I22" i="12"/>
  <c r="S35" i="12"/>
  <c r="L22" i="12"/>
  <c r="G37" i="12"/>
  <c r="J37" i="12" s="1"/>
  <c r="K23" i="12" s="1"/>
  <c r="L23" i="12" s="1"/>
  <c r="F37" i="12"/>
  <c r="E38" i="12"/>
  <c r="G38" i="12" l="1"/>
  <c r="J38" i="12" s="1"/>
  <c r="K24" i="12" s="1"/>
  <c r="F38" i="12"/>
  <c r="M37" i="12"/>
  <c r="N37" i="12" s="1"/>
  <c r="H37" i="12"/>
  <c r="Q37" i="12" s="1"/>
  <c r="D37" i="12"/>
  <c r="I23" i="12"/>
  <c r="S36" i="12"/>
  <c r="M38" i="12" l="1"/>
  <c r="N38" i="12" s="1"/>
  <c r="H38" i="12"/>
  <c r="Q38" i="12" s="1"/>
  <c r="D38" i="12"/>
  <c r="I24" i="12"/>
  <c r="G11" i="12"/>
  <c r="S37" i="12"/>
  <c r="L24" i="12"/>
  <c r="K25" i="12"/>
  <c r="L25" i="12" s="1"/>
  <c r="S38" i="12" l="1"/>
  <c r="K10" i="12" l="1"/>
  <c r="K11" i="12" s="1"/>
  <c r="N40" i="12"/>
  <c r="R39" i="12" l="1"/>
  <c r="R28" i="12"/>
  <c r="R38" i="12"/>
  <c r="T38" i="12" s="1"/>
  <c r="U38" i="12" s="1"/>
  <c r="R37" i="12"/>
  <c r="T37" i="12" s="1"/>
  <c r="U37" i="12" s="1"/>
  <c r="R36" i="12"/>
  <c r="T36" i="12" s="1"/>
  <c r="U36" i="12" s="1"/>
  <c r="R35" i="12"/>
  <c r="T35" i="12" s="1"/>
  <c r="U35" i="12" s="1"/>
  <c r="R34" i="12"/>
  <c r="T34" i="12" s="1"/>
  <c r="U34" i="12" s="1"/>
  <c r="R33" i="12"/>
  <c r="T33" i="12" s="1"/>
  <c r="U33" i="12" s="1"/>
  <c r="R32" i="12"/>
  <c r="T32" i="12" s="1"/>
  <c r="U32" i="12" s="1"/>
  <c r="R31" i="12"/>
  <c r="T31" i="12" s="1"/>
  <c r="R30" i="12"/>
  <c r="T30" i="12" s="1"/>
  <c r="U30" i="12" s="1"/>
  <c r="T40" i="12" l="1"/>
  <c r="U31" i="12"/>
  <c r="U40" i="12" s="1"/>
  <c r="K12" i="12" l="1"/>
  <c r="K40" i="10" l="1"/>
  <c r="I32" i="10" l="1"/>
  <c r="C32" i="10"/>
  <c r="L31" i="10"/>
  <c r="L32" i="10" s="1"/>
  <c r="L33" i="10" s="1"/>
  <c r="L34" i="10" s="1"/>
  <c r="L35" i="10" s="1"/>
  <c r="L36" i="10" s="1"/>
  <c r="I31" i="10"/>
  <c r="Q30" i="10"/>
  <c r="N30" i="10"/>
  <c r="M30" i="10"/>
  <c r="S30" i="10" s="1"/>
  <c r="I30" i="10"/>
  <c r="I29" i="10" s="1"/>
  <c r="E30" i="10"/>
  <c r="F30" i="10" s="1"/>
  <c r="B30" i="10"/>
  <c r="C31" i="10" s="1"/>
  <c r="L29" i="10"/>
  <c r="J24" i="10"/>
  <c r="J23" i="10"/>
  <c r="J18" i="10"/>
  <c r="J17" i="10"/>
  <c r="G14" i="10"/>
  <c r="D30" i="10" s="1"/>
  <c r="J25" i="10" l="1"/>
  <c r="E31" i="10"/>
  <c r="F31" i="10" l="1"/>
  <c r="E32" i="10"/>
  <c r="E33" i="10" s="1"/>
  <c r="G31" i="10"/>
  <c r="J31" i="10" s="1"/>
  <c r="K17" i="10" s="1"/>
  <c r="E34" i="10" l="1"/>
  <c r="F33" i="10"/>
  <c r="G33" i="10"/>
  <c r="J33" i="10" s="1"/>
  <c r="K19" i="10" s="1"/>
  <c r="L19" i="10" s="1"/>
  <c r="L37" i="10"/>
  <c r="F32" i="10"/>
  <c r="G32" i="10"/>
  <c r="J32" i="10" s="1"/>
  <c r="I17" i="10"/>
  <c r="M31" i="10"/>
  <c r="H31" i="10"/>
  <c r="Q31" i="10" s="1"/>
  <c r="D31" i="10"/>
  <c r="H33" i="10" l="1"/>
  <c r="Q33" i="10" s="1"/>
  <c r="D33" i="10"/>
  <c r="M33" i="10"/>
  <c r="E35" i="10"/>
  <c r="F34" i="10"/>
  <c r="G34" i="10"/>
  <c r="J34" i="10" s="1"/>
  <c r="K20" i="10" s="1"/>
  <c r="L20" i="10" s="1"/>
  <c r="L38" i="10"/>
  <c r="K18" i="10"/>
  <c r="L18" i="10" s="1"/>
  <c r="N31" i="10"/>
  <c r="S31" i="10"/>
  <c r="I18" i="10"/>
  <c r="M32" i="10"/>
  <c r="H32" i="10"/>
  <c r="Q32" i="10" s="1"/>
  <c r="D32" i="10"/>
  <c r="E36" i="10" l="1"/>
  <c r="F35" i="10"/>
  <c r="G35" i="10"/>
  <c r="J35" i="10" s="1"/>
  <c r="K21" i="10" s="1"/>
  <c r="L21" i="10" s="1"/>
  <c r="N33" i="10"/>
  <c r="S33" i="10"/>
  <c r="H34" i="10"/>
  <c r="Q34" i="10" s="1"/>
  <c r="D34" i="10"/>
  <c r="M34" i="10"/>
  <c r="N32" i="10"/>
  <c r="S32" i="10"/>
  <c r="H35" i="10" l="1"/>
  <c r="Q35" i="10" s="1"/>
  <c r="M35" i="10"/>
  <c r="D35" i="10"/>
  <c r="E37" i="10"/>
  <c r="F36" i="10"/>
  <c r="G36" i="10"/>
  <c r="J36" i="10" s="1"/>
  <c r="K22" i="10" s="1"/>
  <c r="L22" i="10" s="1"/>
  <c r="N34" i="10"/>
  <c r="S34" i="10"/>
  <c r="H36" i="10" l="1"/>
  <c r="Q36" i="10" s="1"/>
  <c r="M36" i="10"/>
  <c r="D36" i="10"/>
  <c r="S35" i="10"/>
  <c r="N35" i="10"/>
  <c r="E38" i="10"/>
  <c r="G37" i="10"/>
  <c r="J37" i="10" s="1"/>
  <c r="M37" i="10" s="1"/>
  <c r="N37" i="10" s="1"/>
  <c r="F37" i="10"/>
  <c r="K23" i="10" l="1"/>
  <c r="L23" i="10" s="1"/>
  <c r="F38" i="10"/>
  <c r="G38" i="10"/>
  <c r="J38" i="10" s="1"/>
  <c r="M38" i="10" s="1"/>
  <c r="N38" i="10" s="1"/>
  <c r="S36" i="10"/>
  <c r="N36" i="10"/>
  <c r="H37" i="10"/>
  <c r="Q37" i="10" s="1"/>
  <c r="D37" i="10"/>
  <c r="Q39" i="10"/>
  <c r="G11" i="10"/>
  <c r="S37" i="10"/>
  <c r="I24" i="10"/>
  <c r="K24" i="10" l="1"/>
  <c r="L24" i="10" s="1"/>
  <c r="H38" i="10"/>
  <c r="D38" i="10"/>
  <c r="Q38" i="10"/>
  <c r="K10" i="10"/>
  <c r="S38" i="10"/>
  <c r="D2" i="7"/>
  <c r="K11" i="10" l="1"/>
  <c r="R33" i="10"/>
  <c r="T33" i="10" s="1"/>
  <c r="U33" i="10" s="1"/>
  <c r="R36" i="10"/>
  <c r="T36" i="10" s="1"/>
  <c r="U36" i="10" s="1"/>
  <c r="R34" i="10"/>
  <c r="T34" i="10" s="1"/>
  <c r="U34" i="10" s="1"/>
  <c r="R35" i="10"/>
  <c r="T35" i="10" s="1"/>
  <c r="U35" i="10" s="1"/>
  <c r="L17" i="10"/>
  <c r="K25" i="10" l="1"/>
  <c r="L25" i="10" s="1"/>
  <c r="R39" i="10" l="1"/>
  <c r="N40" i="10"/>
  <c r="R38" i="10" l="1"/>
  <c r="T38" i="10" s="1"/>
  <c r="U38" i="10" s="1"/>
  <c r="R32" i="10"/>
  <c r="T32" i="10" s="1"/>
  <c r="U32" i="10" s="1"/>
  <c r="R30" i="10"/>
  <c r="T30" i="10" s="1"/>
  <c r="U30" i="10" s="1"/>
  <c r="R37" i="10"/>
  <c r="T37" i="10" s="1"/>
  <c r="U37" i="10" s="1"/>
  <c r="R28" i="10"/>
  <c r="R31" i="10"/>
  <c r="T31" i="10" s="1"/>
  <c r="U31" i="10" l="1"/>
  <c r="U40" i="10" s="1"/>
  <c r="T40" i="10"/>
  <c r="K12" i="10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<sst xmlns="http://schemas.openxmlformats.org/spreadsheetml/2006/main" count="84" uniqueCount="45">
  <si>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</si>
  <si>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</si>
  <si>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</si>
  <si>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</si>
  <si>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</si>
  <si>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</si>
  <si>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</si>
  <si>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</si>
  <si>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</si>
  <si>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</si>
  <si>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</si>
  <si>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</si>
  <si>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</si>
  <si>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</si>
  <si>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</si>
  <si>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</si>
  <si>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</si>
  <si>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</si>
  <si>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</si>
  <si>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</si>
  <si>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</si>
  <si>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</si>
  <si>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</si>
  <si>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</si>
  <si>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</si>
  <si>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</si>
  <si>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</si>
  <si>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</si>
  <si>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</si>
  <si>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</si>
  <si>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</si>
  <si>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Cupón a licitar:</t>
  </si>
  <si>
    <t>Duration (meses):</t>
  </si>
  <si>
    <t>Moneda:</t>
  </si>
  <si>
    <t>Dólar Linked</t>
  </si>
  <si>
    <t>TC Inicial</t>
  </si>
  <si>
    <t>Días Dev.</t>
  </si>
  <si>
    <t>Trimestrales</t>
  </si>
  <si>
    <t>V/N:</t>
  </si>
  <si>
    <t>s/c</t>
  </si>
  <si>
    <t>Badlar Proyectada</t>
  </si>
  <si>
    <t>Pesos</t>
  </si>
  <si>
    <t>Margen a licitar:</t>
  </si>
  <si>
    <t>ON Pyme CNV Garantizada Agronegocios Jewell SA Clase I (Badlar 24 meses)</t>
  </si>
  <si>
    <t>ON Pyme CNV Garantizada Agronegocios Jewell SA Clase II (Dólar Linked 24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</si>
</sst>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2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6" fontId="3" fillId="5" borderId="12" xfId="3" applyNumberFormat="1" applyFont="1" applyFill="1" applyBorder="1" applyAlignment="1" applyProtection="1">
      <alignment horizontal="center"/>
    </xf>
    <xf numFmtId="166" fontId="3" fillId="5" borderId="6" xfId="3" applyNumberFormat="1" applyFont="1" applyFill="1" applyBorder="1" applyAlignment="1" applyProtection="1">
      <alignment horizontal="center"/>
    </xf>
    <xf numFmtId="172" fontId="2" fillId="2" borderId="0" xfId="0" applyNumberFormat="1" applyFont="1" applyFill="1" applyAlignment="1" applyProtection="1">
      <alignment horizontal="center" vertic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0" fontId="4" fillId="5" borderId="6" xfId="3" applyNumberFormat="1" applyFont="1" applyFill="1" applyBorder="1" applyAlignment="1" applyProtection="1">
      <alignment horizontal="center"/>
      <protection locked="0"/>
    </xf>
    <xf numFmtId="10" fontId="4" fillId="5" borderId="7" xfId="3" applyNumberFormat="1" applyFont="1" applyFill="1" applyBorder="1" applyAlignment="1" applyProtection="1">
      <alignment horizontal="center"/>
      <protection locked="0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  <xf numFmtId="169" fontId="3" fillId="5" borderId="0" xfId="0" applyNumberFormat="1" applyFont="1" applyFill="1" applyBorder="1" applyAlignment="1" applyProtection="1">
      <alignment horizontal="center"/>
      <protection locked="0"/>
    </xf>
    <xf numFmtId="169" fontId="3" fillId="5" borderId="1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6" xfId="0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171" fontId="3" fillId="4" borderId="0" xfId="2" applyNumberFormat="1" applyFont="1" applyFill="1" applyBorder="1" applyAlignment="1" applyProtection="1">
      <alignment horizontal="center"/>
      <protection locked="0"/>
    </xf>
    <xf numFmtId="171" fontId="3" fillId="4" borderId="12" xfId="2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619125</xdr:colOff>
      <xdr:row>1</xdr:row>
      <xdr:rowOff>76200</xdr:rowOff>
    </xdr:from>
    <xdr:to>
      <xdr:col>21</xdr:col>
      <xdr:colOff>28575</xdr:colOff>
      <xdr:row>6</xdr:row>
      <xdr:rowOff>52874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96" r="29843"/>
        <a:stretch/>
      </xdr:blipFill>
      <xdr:spPr>
        <a:xfrm>
          <a:off x="8191500" y="219075"/>
          <a:ext cx="1685925" cy="691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77438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619125</xdr:colOff>
      <xdr:row>1</xdr:row>
      <xdr:rowOff>76200</xdr:rowOff>
    </xdr:from>
    <xdr:to>
      <xdr:col>21</xdr:col>
      <xdr:colOff>28575</xdr:colOff>
      <xdr:row>6</xdr:row>
      <xdr:rowOff>52874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96" r="29843"/>
        <a:stretch/>
      </xdr:blipFill>
      <xdr:spPr>
        <a:xfrm>
          <a:off x="8191500" y="219075"/>
          <a:ext cx="1685925" cy="69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tabSelected="1" zoomScaleNormal="100" zoomScaleSheetLayoutView="130" workbookViewId="0">
      <selection activeCell="W21" sqref="W21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6" t="s">
        <v>43</v>
      </c>
      <c r="G8" s="87"/>
      <c r="H8" s="87"/>
      <c r="I8" s="87"/>
      <c r="J8" s="87"/>
      <c r="K8" s="87"/>
      <c r="L8" s="87"/>
      <c r="M8" s="87"/>
      <c r="N8" s="87"/>
      <c r="O8" s="88"/>
      <c r="P8" s="89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73" t="s">
        <v>0</v>
      </c>
      <c r="G10" s="90">
        <v>44589</v>
      </c>
      <c r="H10" s="91"/>
      <c r="I10" s="92" t="s">
        <v>1</v>
      </c>
      <c r="J10" s="93"/>
      <c r="K10" s="94">
        <f>XIRR(N30:N38,D30:D38)</f>
        <v>0.48421081900596619</v>
      </c>
      <c r="L10" s="95"/>
      <c r="M10" s="92" t="s">
        <v>29</v>
      </c>
      <c r="N10" s="93"/>
      <c r="O10" s="94" t="s">
        <v>37</v>
      </c>
      <c r="P10" s="95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4" t="s">
        <v>3</v>
      </c>
      <c r="G11" s="102">
        <f>+F38</f>
        <v>45319</v>
      </c>
      <c r="H11" s="103"/>
      <c r="I11" s="98" t="s">
        <v>19</v>
      </c>
      <c r="J11" s="99"/>
      <c r="K11" s="96">
        <f>+NOMINAL(K10,4)</f>
        <v>0.4150323446690507</v>
      </c>
      <c r="L11" s="97"/>
      <c r="M11" s="98" t="s">
        <v>33</v>
      </c>
      <c r="N11" s="99"/>
      <c r="O11" s="104" t="s">
        <v>41</v>
      </c>
      <c r="P11" s="10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74" t="s">
        <v>30</v>
      </c>
      <c r="G12" s="96" t="s">
        <v>24</v>
      </c>
      <c r="H12" s="97"/>
      <c r="I12" s="98" t="s">
        <v>32</v>
      </c>
      <c r="J12" s="99"/>
      <c r="K12" s="100">
        <f>+(U40/T40)*12</f>
        <v>14.056820528930231</v>
      </c>
      <c r="L12" s="101"/>
      <c r="M12" s="98" t="s">
        <v>2</v>
      </c>
      <c r="N12" s="99"/>
      <c r="O12" s="96">
        <v>1</v>
      </c>
      <c r="P12" s="97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4"/>
      <c r="G13" s="114"/>
      <c r="H13" s="115"/>
      <c r="I13" s="98" t="s">
        <v>27</v>
      </c>
      <c r="J13" s="99"/>
      <c r="K13" s="100" t="s">
        <v>39</v>
      </c>
      <c r="L13" s="101"/>
      <c r="M13" s="98" t="s">
        <v>38</v>
      </c>
      <c r="N13" s="99"/>
      <c r="O13" s="116">
        <v>10000000</v>
      </c>
      <c r="P13" s="117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5" t="s">
        <v>4</v>
      </c>
      <c r="G14" s="106">
        <f>+$G$10</f>
        <v>44589</v>
      </c>
      <c r="H14" s="107"/>
      <c r="I14" s="108" t="s">
        <v>28</v>
      </c>
      <c r="J14" s="109"/>
      <c r="K14" s="110">
        <v>24</v>
      </c>
      <c r="L14" s="111"/>
      <c r="M14" s="108" t="s">
        <v>42</v>
      </c>
      <c r="N14" s="109"/>
      <c r="O14" s="112">
        <v>0.04</v>
      </c>
      <c r="P14" s="113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6" t="s">
        <v>11</v>
      </c>
      <c r="J16" s="77" t="s">
        <v>17</v>
      </c>
      <c r="K16" s="77" t="s">
        <v>12</v>
      </c>
      <c r="L16" s="78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9">
        <f t="shared" ref="I17:I23" si="0">+F31</f>
        <v>44679</v>
      </c>
      <c r="J17" s="68">
        <f t="shared" ref="J17:J24" si="1">+$O$13*K31/100</f>
        <v>0</v>
      </c>
      <c r="K17" s="69">
        <f t="shared" ref="K17:K24" si="2">+$O$13*J31/100</f>
        <v>1023287.6712328766</v>
      </c>
      <c r="L17" s="21">
        <f>SUM(J17:K17)</f>
        <v>1023287.6712328766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9">
        <f t="shared" si="0"/>
        <v>44770</v>
      </c>
      <c r="J18" s="68">
        <f t="shared" si="1"/>
        <v>0</v>
      </c>
      <c r="K18" s="67">
        <f t="shared" si="2"/>
        <v>1034657.5342465754</v>
      </c>
      <c r="L18" s="21">
        <f t="shared" ref="L18:L24" si="3">SUM(J18:K18)</f>
        <v>1034657.5342465754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9">
        <f t="shared" si="0"/>
        <v>44862</v>
      </c>
      <c r="J19" s="68">
        <f t="shared" si="1"/>
        <v>0</v>
      </c>
      <c r="K19" s="67">
        <f t="shared" si="2"/>
        <v>1046027.3972602737</v>
      </c>
      <c r="L19" s="21">
        <f t="shared" si="3"/>
        <v>1046027.3972602737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9">
        <f t="shared" si="0"/>
        <v>44954</v>
      </c>
      <c r="J20" s="68">
        <f t="shared" si="1"/>
        <v>3300000</v>
      </c>
      <c r="K20" s="67">
        <f t="shared" si="2"/>
        <v>1046027.3972602737</v>
      </c>
      <c r="L20" s="21">
        <f t="shared" si="3"/>
        <v>4346027.3972602738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9">
        <f t="shared" si="0"/>
        <v>45044</v>
      </c>
      <c r="J21" s="68">
        <f t="shared" si="1"/>
        <v>0</v>
      </c>
      <c r="K21" s="67">
        <f t="shared" si="2"/>
        <v>685602.73972602724</v>
      </c>
      <c r="L21" s="21">
        <f t="shared" si="3"/>
        <v>685602.73972602724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9">
        <f t="shared" si="0"/>
        <v>45135</v>
      </c>
      <c r="J22" s="68">
        <f t="shared" si="1"/>
        <v>3300000</v>
      </c>
      <c r="K22" s="67">
        <f t="shared" si="2"/>
        <v>693220.54794520547</v>
      </c>
      <c r="L22" s="21">
        <f t="shared" si="3"/>
        <v>3993220.5479452056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9">
        <f t="shared" si="0"/>
        <v>45227</v>
      </c>
      <c r="J23" s="68">
        <f t="shared" si="1"/>
        <v>0</v>
      </c>
      <c r="K23" s="67">
        <f t="shared" si="2"/>
        <v>355649.31506849313</v>
      </c>
      <c r="L23" s="21">
        <f t="shared" si="3"/>
        <v>355649.31506849313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9">
        <f>+F38</f>
        <v>45319</v>
      </c>
      <c r="J24" s="68">
        <f t="shared" si="1"/>
        <v>3400000</v>
      </c>
      <c r="K24" s="67">
        <f t="shared" si="2"/>
        <v>355649.31506849313</v>
      </c>
      <c r="L24" s="21">
        <f t="shared" si="3"/>
        <v>3755649.3150684931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80" t="s">
        <v>13</v>
      </c>
      <c r="J25" s="81">
        <f>SUM(J17:J24)</f>
        <v>10000000</v>
      </c>
      <c r="K25" s="81">
        <f>SUM(K17:K24)</f>
        <v>6240121.9178082179</v>
      </c>
      <c r="L25" s="82">
        <f>SUM(J25:K25)</f>
        <v>16240121.917808218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24" t="s">
        <v>18</v>
      </c>
      <c r="G27" s="126" t="s">
        <v>36</v>
      </c>
      <c r="H27" s="126" t="s">
        <v>14</v>
      </c>
      <c r="I27" s="126" t="s">
        <v>22</v>
      </c>
      <c r="J27" s="118" t="s">
        <v>21</v>
      </c>
      <c r="K27" s="118" t="s">
        <v>5</v>
      </c>
      <c r="L27" s="118" t="s">
        <v>15</v>
      </c>
      <c r="M27" s="120" t="s">
        <v>6</v>
      </c>
      <c r="N27" s="122" t="s">
        <v>16</v>
      </c>
      <c r="O27" s="122" t="s">
        <v>40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V27" s="9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25"/>
      <c r="G28" s="127"/>
      <c r="H28" s="127"/>
      <c r="I28" s="127"/>
      <c r="J28" s="119"/>
      <c r="K28" s="119"/>
      <c r="L28" s="119"/>
      <c r="M28" s="121"/>
      <c r="N28" s="123"/>
      <c r="O28" s="123"/>
      <c r="Q28" s="10"/>
      <c r="R28" s="11">
        <f>+K10</f>
        <v>0.48421081900596619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70"/>
      <c r="G29" s="50"/>
      <c r="H29" s="50"/>
      <c r="I29" s="20">
        <f>+I30</f>
        <v>0.04</v>
      </c>
      <c r="J29" s="51"/>
      <c r="K29" s="51"/>
      <c r="L29" s="52">
        <f>+L30</f>
        <v>100</v>
      </c>
      <c r="M29" s="53"/>
      <c r="N29" s="71"/>
      <c r="Q29" s="10"/>
      <c r="R29" s="11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44589</v>
      </c>
      <c r="C30" s="32"/>
      <c r="D30" s="30">
        <f>+G14</f>
        <v>44589</v>
      </c>
      <c r="E30" s="39">
        <f>+G10</f>
        <v>44589</v>
      </c>
      <c r="F30" s="59">
        <f>+E30</f>
        <v>44589</v>
      </c>
      <c r="G30" s="60"/>
      <c r="H30" s="60"/>
      <c r="I30" s="61">
        <f t="shared" ref="I30" si="4">+$O$14</f>
        <v>0.04</v>
      </c>
      <c r="J30" s="60"/>
      <c r="K30" s="60"/>
      <c r="L30" s="62">
        <v>100</v>
      </c>
      <c r="M30" s="62">
        <f>-O12*100</f>
        <v>-100</v>
      </c>
      <c r="N30" s="63">
        <f>+O13*-1</f>
        <v>-10000000</v>
      </c>
      <c r="O30" s="63"/>
      <c r="P30" s="1"/>
      <c r="Q30" s="16">
        <f t="shared" ref="Q30:Q39" si="5">H30/365</f>
        <v>0</v>
      </c>
      <c r="R30" s="16">
        <f t="shared" ref="R30:R39" si="6">1/(1+$K$10)^(H30/365)</f>
        <v>1</v>
      </c>
      <c r="S30" s="17">
        <f t="shared" ref="S30:S38" si="7">+M30</f>
        <v>-100</v>
      </c>
      <c r="T30" s="17">
        <f t="shared" ref="T30:T38" si="8">+S30*R30</f>
        <v>-100</v>
      </c>
      <c r="U30" s="17">
        <f t="shared" ref="U30:U38" si="9">+T30*Q30</f>
        <v>0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44679</v>
      </c>
      <c r="C31" s="32">
        <f t="shared" ref="C31:C38" si="10">+B31-B30</f>
        <v>90</v>
      </c>
      <c r="D31" s="30">
        <f t="shared" ref="D31:D38" si="11">+F31</f>
        <v>44679</v>
      </c>
      <c r="E31" s="39">
        <f t="shared" ref="E31:E38" si="12">+E30+C31</f>
        <v>44679</v>
      </c>
      <c r="F31" s="42">
        <f t="shared" ref="F31:F38" si="13">+E31</f>
        <v>44679</v>
      </c>
      <c r="G31" s="43">
        <f t="shared" ref="G31:G38" si="14">+E31-E30</f>
        <v>90</v>
      </c>
      <c r="H31" s="43">
        <f t="shared" ref="H31:H38" si="15">+IF(F31-$G$14&lt;0,0,F31-$G$14)</f>
        <v>90</v>
      </c>
      <c r="I31" s="41">
        <f>+$O$14+O31</f>
        <v>0.41499999999999998</v>
      </c>
      <c r="J31" s="44">
        <f t="shared" ref="J31:J38" si="16">+I31/365*G31*L30</f>
        <v>10.232876712328766</v>
      </c>
      <c r="K31" s="45">
        <v>0</v>
      </c>
      <c r="L31" s="45">
        <f t="shared" ref="L31:L38" si="17">+L30-K31</f>
        <v>100</v>
      </c>
      <c r="M31" s="45">
        <f t="shared" ref="M31:M38" si="18">+IF(F31&gt;$G$14,J31+K31,0)</f>
        <v>10.232876712328766</v>
      </c>
      <c r="N31" s="47">
        <f t="shared" ref="N31:N38" si="19">+M31*$O$13/100</f>
        <v>1023287.6712328766</v>
      </c>
      <c r="O31" s="83">
        <v>0.375</v>
      </c>
      <c r="P31" s="1"/>
      <c r="Q31" s="16">
        <f t="shared" si="5"/>
        <v>0.24657534246575341</v>
      </c>
      <c r="R31" s="16">
        <f t="shared" si="6"/>
        <v>0.90722167029651368</v>
      </c>
      <c r="S31" s="17">
        <f t="shared" si="7"/>
        <v>10.232876712328766</v>
      </c>
      <c r="T31" s="85">
        <f t="shared" si="8"/>
        <v>9.2834875028972004</v>
      </c>
      <c r="U31" s="17">
        <f t="shared" si="9"/>
        <v>2.2890791103034189</v>
      </c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44770</v>
      </c>
      <c r="C32" s="32">
        <f t="shared" si="10"/>
        <v>91</v>
      </c>
      <c r="D32" s="30">
        <f t="shared" si="11"/>
        <v>44770</v>
      </c>
      <c r="E32" s="39">
        <f t="shared" si="12"/>
        <v>44770</v>
      </c>
      <c r="F32" s="42">
        <f t="shared" si="13"/>
        <v>44770</v>
      </c>
      <c r="G32" s="43">
        <f t="shared" si="14"/>
        <v>91</v>
      </c>
      <c r="H32" s="43">
        <f t="shared" si="15"/>
        <v>181</v>
      </c>
      <c r="I32" s="41">
        <f t="shared" ref="I32:I37" si="20">+$O$14+O32</f>
        <v>0.41499999999999998</v>
      </c>
      <c r="J32" s="44">
        <f t="shared" si="16"/>
        <v>10.346575342465753</v>
      </c>
      <c r="K32" s="45">
        <v>0</v>
      </c>
      <c r="L32" s="45">
        <f t="shared" si="17"/>
        <v>100</v>
      </c>
      <c r="M32" s="45">
        <f t="shared" si="18"/>
        <v>10.346575342465753</v>
      </c>
      <c r="N32" s="47">
        <f t="shared" si="19"/>
        <v>1034657.5342465754</v>
      </c>
      <c r="O32" s="83">
        <f>+$O$31</f>
        <v>0.375</v>
      </c>
      <c r="P32" s="1"/>
      <c r="Q32" s="16">
        <f t="shared" si="5"/>
        <v>0.49589041095890413</v>
      </c>
      <c r="R32" s="16">
        <f t="shared" si="6"/>
        <v>0.82216120473653631</v>
      </c>
      <c r="S32" s="17">
        <f t="shared" si="7"/>
        <v>10.346575342465753</v>
      </c>
      <c r="T32" s="85">
        <f t="shared" si="8"/>
        <v>8.5065528484589841</v>
      </c>
      <c r="U32" s="17">
        <f t="shared" si="9"/>
        <v>4.2183179878659622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44862</v>
      </c>
      <c r="C33" s="32">
        <f t="shared" si="10"/>
        <v>92</v>
      </c>
      <c r="D33" s="30">
        <f t="shared" si="11"/>
        <v>44862</v>
      </c>
      <c r="E33" s="39">
        <f t="shared" si="12"/>
        <v>44862</v>
      </c>
      <c r="F33" s="42">
        <f t="shared" si="13"/>
        <v>44862</v>
      </c>
      <c r="G33" s="43">
        <f t="shared" si="14"/>
        <v>92</v>
      </c>
      <c r="H33" s="43">
        <f t="shared" si="15"/>
        <v>273</v>
      </c>
      <c r="I33" s="41">
        <f t="shared" si="20"/>
        <v>0.41499999999999998</v>
      </c>
      <c r="J33" s="44">
        <f t="shared" si="16"/>
        <v>10.460273972602737</v>
      </c>
      <c r="K33" s="45">
        <v>0</v>
      </c>
      <c r="L33" s="45">
        <f t="shared" si="17"/>
        <v>100</v>
      </c>
      <c r="M33" s="45">
        <f t="shared" si="18"/>
        <v>10.460273972602737</v>
      </c>
      <c r="N33" s="47">
        <f t="shared" si="19"/>
        <v>1046027.3972602737</v>
      </c>
      <c r="O33" s="83">
        <f t="shared" ref="O33:O37" si="21">+$O$31</f>
        <v>0.375</v>
      </c>
      <c r="P33" s="1"/>
      <c r="Q33" s="16">
        <f t="shared" si="5"/>
        <v>0.74794520547945209</v>
      </c>
      <c r="R33" s="16">
        <f t="shared" si="6"/>
        <v>0.74427030782930736</v>
      </c>
      <c r="S33" s="17">
        <f t="shared" si="7"/>
        <v>10.460273972602737</v>
      </c>
      <c r="T33" s="85">
        <f t="shared" si="8"/>
        <v>7.785271329567931</v>
      </c>
      <c r="U33" s="17">
        <f t="shared" si="9"/>
        <v>5.8229563643069735</v>
      </c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44954</v>
      </c>
      <c r="C34" s="32">
        <f t="shared" si="10"/>
        <v>92</v>
      </c>
      <c r="D34" s="30">
        <f t="shared" si="11"/>
        <v>44954</v>
      </c>
      <c r="E34" s="39">
        <f t="shared" si="12"/>
        <v>44954</v>
      </c>
      <c r="F34" s="42">
        <f t="shared" si="13"/>
        <v>44954</v>
      </c>
      <c r="G34" s="43">
        <f t="shared" si="14"/>
        <v>92</v>
      </c>
      <c r="H34" s="43">
        <f t="shared" si="15"/>
        <v>365</v>
      </c>
      <c r="I34" s="41">
        <f t="shared" si="20"/>
        <v>0.41499999999999998</v>
      </c>
      <c r="J34" s="44">
        <f t="shared" si="16"/>
        <v>10.460273972602737</v>
      </c>
      <c r="K34" s="45">
        <v>33</v>
      </c>
      <c r="L34" s="45">
        <f t="shared" si="17"/>
        <v>67</v>
      </c>
      <c r="M34" s="45">
        <f t="shared" si="18"/>
        <v>43.460273972602735</v>
      </c>
      <c r="N34" s="47">
        <f t="shared" si="19"/>
        <v>4346027.3972602738</v>
      </c>
      <c r="O34" s="83">
        <f t="shared" si="21"/>
        <v>0.375</v>
      </c>
      <c r="P34" s="1"/>
      <c r="Q34" s="16">
        <f t="shared" si="5"/>
        <v>1</v>
      </c>
      <c r="R34" s="16">
        <f t="shared" si="6"/>
        <v>0.67375873238125228</v>
      </c>
      <c r="S34" s="17">
        <f t="shared" si="7"/>
        <v>43.460273972602735</v>
      </c>
      <c r="T34" s="85">
        <f t="shared" si="8"/>
        <v>29.281739100722749</v>
      </c>
      <c r="U34" s="17">
        <f t="shared" si="9"/>
        <v>29.281739100722749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45044</v>
      </c>
      <c r="C35" s="32">
        <f t="shared" si="10"/>
        <v>90</v>
      </c>
      <c r="D35" s="30">
        <f t="shared" si="11"/>
        <v>45044</v>
      </c>
      <c r="E35" s="39">
        <f t="shared" si="12"/>
        <v>45044</v>
      </c>
      <c r="F35" s="42">
        <f t="shared" si="13"/>
        <v>45044</v>
      </c>
      <c r="G35" s="43">
        <f t="shared" si="14"/>
        <v>90</v>
      </c>
      <c r="H35" s="43">
        <f t="shared" si="15"/>
        <v>455</v>
      </c>
      <c r="I35" s="41">
        <f t="shared" si="20"/>
        <v>0.41499999999999998</v>
      </c>
      <c r="J35" s="44">
        <f t="shared" si="16"/>
        <v>6.8560273972602728</v>
      </c>
      <c r="K35" s="45">
        <v>0</v>
      </c>
      <c r="L35" s="45">
        <f t="shared" si="17"/>
        <v>67</v>
      </c>
      <c r="M35" s="45">
        <f t="shared" si="18"/>
        <v>6.8560273972602728</v>
      </c>
      <c r="N35" s="47">
        <f t="shared" si="19"/>
        <v>685602.73972602724</v>
      </c>
      <c r="O35" s="83">
        <f t="shared" si="21"/>
        <v>0.375</v>
      </c>
      <c r="P35" s="1"/>
      <c r="Q35" s="16">
        <f t="shared" si="5"/>
        <v>1.2465753424657535</v>
      </c>
      <c r="R35" s="16">
        <f t="shared" si="6"/>
        <v>0.61124852256778139</v>
      </c>
      <c r="S35" s="17">
        <f t="shared" si="7"/>
        <v>6.8560273972602728</v>
      </c>
      <c r="T35" s="85">
        <f t="shared" si="8"/>
        <v>4.1907366172595735</v>
      </c>
      <c r="U35" s="17">
        <f t="shared" si="9"/>
        <v>5.2240689338441264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45135</v>
      </c>
      <c r="C36" s="32">
        <f t="shared" si="10"/>
        <v>91</v>
      </c>
      <c r="D36" s="30">
        <f t="shared" si="11"/>
        <v>45135</v>
      </c>
      <c r="E36" s="39">
        <f t="shared" si="12"/>
        <v>45135</v>
      </c>
      <c r="F36" s="42">
        <f t="shared" si="13"/>
        <v>45135</v>
      </c>
      <c r="G36" s="43">
        <f t="shared" si="14"/>
        <v>91</v>
      </c>
      <c r="H36" s="43">
        <f t="shared" si="15"/>
        <v>546</v>
      </c>
      <c r="I36" s="41">
        <f t="shared" si="20"/>
        <v>0.41499999999999998</v>
      </c>
      <c r="J36" s="44">
        <f t="shared" si="16"/>
        <v>6.9322054794520538</v>
      </c>
      <c r="K36" s="45">
        <v>33</v>
      </c>
      <c r="L36" s="45">
        <f t="shared" si="17"/>
        <v>34</v>
      </c>
      <c r="M36" s="45">
        <f t="shared" si="18"/>
        <v>39.932205479452051</v>
      </c>
      <c r="N36" s="47">
        <f t="shared" si="19"/>
        <v>3993220.5479452051</v>
      </c>
      <c r="O36" s="83">
        <f t="shared" si="21"/>
        <v>0.375</v>
      </c>
      <c r="P36" s="1"/>
      <c r="Q36" s="16">
        <f t="shared" si="5"/>
        <v>1.4958904109589042</v>
      </c>
      <c r="R36" s="16">
        <f t="shared" si="6"/>
        <v>0.55393829111633186</v>
      </c>
      <c r="S36" s="17">
        <f t="shared" si="7"/>
        <v>39.932205479452051</v>
      </c>
      <c r="T36" s="85">
        <f t="shared" si="8"/>
        <v>22.119977663793893</v>
      </c>
      <c r="U36" s="17">
        <f t="shared" si="9"/>
        <v>33.08906247789443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45227</v>
      </c>
      <c r="C37" s="32">
        <f t="shared" si="10"/>
        <v>92</v>
      </c>
      <c r="D37" s="30">
        <f t="shared" si="11"/>
        <v>45227</v>
      </c>
      <c r="E37" s="39">
        <f t="shared" si="12"/>
        <v>45227</v>
      </c>
      <c r="F37" s="42">
        <f t="shared" si="13"/>
        <v>45227</v>
      </c>
      <c r="G37" s="43">
        <f t="shared" si="14"/>
        <v>92</v>
      </c>
      <c r="H37" s="43">
        <f t="shared" si="15"/>
        <v>638</v>
      </c>
      <c r="I37" s="41">
        <f t="shared" si="20"/>
        <v>0.41499999999999998</v>
      </c>
      <c r="J37" s="44">
        <f t="shared" si="16"/>
        <v>3.5564931506849309</v>
      </c>
      <c r="K37" s="45">
        <v>0</v>
      </c>
      <c r="L37" s="45">
        <f t="shared" si="17"/>
        <v>34</v>
      </c>
      <c r="M37" s="45">
        <f t="shared" si="18"/>
        <v>3.5564931506849309</v>
      </c>
      <c r="N37" s="47">
        <f t="shared" si="19"/>
        <v>355649.31506849313</v>
      </c>
      <c r="O37" s="83">
        <f t="shared" si="21"/>
        <v>0.375</v>
      </c>
      <c r="P37" s="1"/>
      <c r="Q37" s="16">
        <f t="shared" si="5"/>
        <v>1.747945205479452</v>
      </c>
      <c r="R37" s="16">
        <f t="shared" si="6"/>
        <v>0.50145861915207846</v>
      </c>
      <c r="S37" s="17">
        <f t="shared" si="7"/>
        <v>3.5564931506849309</v>
      </c>
      <c r="T37" s="85">
        <f t="shared" si="8"/>
        <v>1.7834341443662902</v>
      </c>
      <c r="U37" s="17">
        <f t="shared" si="9"/>
        <v>3.1173451619334056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45319</v>
      </c>
      <c r="C38" s="32">
        <f t="shared" si="10"/>
        <v>92</v>
      </c>
      <c r="D38" s="30">
        <f t="shared" si="11"/>
        <v>45319</v>
      </c>
      <c r="E38" s="39">
        <f t="shared" si="12"/>
        <v>45319</v>
      </c>
      <c r="F38" s="54">
        <f t="shared" si="13"/>
        <v>45319</v>
      </c>
      <c r="G38" s="48">
        <f t="shared" si="14"/>
        <v>92</v>
      </c>
      <c r="H38" s="48">
        <f t="shared" si="15"/>
        <v>730</v>
      </c>
      <c r="I38" s="49">
        <f>+$O$14+O38</f>
        <v>0.41499999999999998</v>
      </c>
      <c r="J38" s="55">
        <f t="shared" si="16"/>
        <v>3.5564931506849309</v>
      </c>
      <c r="K38" s="56">
        <v>34</v>
      </c>
      <c r="L38" s="56">
        <f t="shared" si="17"/>
        <v>0</v>
      </c>
      <c r="M38" s="56">
        <f t="shared" si="18"/>
        <v>37.556493150684929</v>
      </c>
      <c r="N38" s="57">
        <f t="shared" si="19"/>
        <v>3755649.3150684927</v>
      </c>
      <c r="O38" s="84">
        <f>+$O$31</f>
        <v>0.375</v>
      </c>
      <c r="P38" s="1"/>
      <c r="Q38" s="16">
        <f t="shared" si="5"/>
        <v>2</v>
      </c>
      <c r="R38" s="16">
        <f t="shared" si="6"/>
        <v>0.45395082945999188</v>
      </c>
      <c r="S38" s="17">
        <f t="shared" si="7"/>
        <v>37.556493150684929</v>
      </c>
      <c r="T38" s="85">
        <f t="shared" si="8"/>
        <v>17.048801217361927</v>
      </c>
      <c r="U38" s="17">
        <f t="shared" si="9"/>
        <v>34.097602434723854</v>
      </c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5"/>
        <v>0</v>
      </c>
      <c r="R39" s="1">
        <f t="shared" si="6"/>
        <v>1</v>
      </c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6240121.9178082179</v>
      </c>
      <c r="Q40" s="19"/>
      <c r="R40" s="19"/>
      <c r="S40" s="17"/>
      <c r="T40" s="17">
        <f>SUM(T31:T38)</f>
        <v>100.00000042442855</v>
      </c>
      <c r="U40" s="17">
        <f>SUM(U31:U38)</f>
        <v>117.14017157159492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6"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86" t="s">
        <v>44</v>
      </c>
      <c r="G8" s="87"/>
      <c r="H8" s="87"/>
      <c r="I8" s="87"/>
      <c r="J8" s="87"/>
      <c r="K8" s="87"/>
      <c r="L8" s="87"/>
      <c r="M8" s="87"/>
      <c r="N8" s="87"/>
      <c r="O8" s="88"/>
      <c r="P8" s="89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4" t="s">
        <v>0</v>
      </c>
      <c r="G10" s="90">
        <v>44589</v>
      </c>
      <c r="H10" s="91"/>
      <c r="I10" s="92" t="s">
        <v>1</v>
      </c>
      <c r="J10" s="93"/>
      <c r="K10" s="94">
        <f>XIRR(N30:N38,D30:D38)</f>
        <v>2.0150545239448554E-2</v>
      </c>
      <c r="L10" s="95"/>
      <c r="M10" s="92" t="s">
        <v>29</v>
      </c>
      <c r="N10" s="93"/>
      <c r="O10" s="94" t="s">
        <v>37</v>
      </c>
      <c r="P10" s="95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65" t="s">
        <v>3</v>
      </c>
      <c r="G11" s="102">
        <f>+F38</f>
        <v>45319</v>
      </c>
      <c r="H11" s="103"/>
      <c r="I11" s="98" t="s">
        <v>19</v>
      </c>
      <c r="J11" s="99"/>
      <c r="K11" s="96">
        <f>+NOMINAL(K10,4)</f>
        <v>2.0000043951868385E-2</v>
      </c>
      <c r="L11" s="97"/>
      <c r="M11" s="98" t="s">
        <v>33</v>
      </c>
      <c r="N11" s="99"/>
      <c r="O11" s="104" t="s">
        <v>34</v>
      </c>
      <c r="P11" s="10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65" t="s">
        <v>30</v>
      </c>
      <c r="G12" s="96" t="s">
        <v>24</v>
      </c>
      <c r="H12" s="97"/>
      <c r="I12" s="98" t="s">
        <v>32</v>
      </c>
      <c r="J12" s="99"/>
      <c r="K12" s="100">
        <f>+(U40/T40)*12</f>
        <v>17.800594598456943</v>
      </c>
      <c r="L12" s="101"/>
      <c r="M12" s="98" t="s">
        <v>2</v>
      </c>
      <c r="N12" s="99"/>
      <c r="O12" s="96">
        <v>1</v>
      </c>
      <c r="P12" s="97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2" t="s">
        <v>35</v>
      </c>
      <c r="G13" s="128">
        <v>104.3961</v>
      </c>
      <c r="H13" s="129"/>
      <c r="I13" s="98" t="s">
        <v>27</v>
      </c>
      <c r="J13" s="99"/>
      <c r="K13" s="100" t="s">
        <v>39</v>
      </c>
      <c r="L13" s="101"/>
      <c r="M13" s="98" t="s">
        <v>38</v>
      </c>
      <c r="N13" s="99"/>
      <c r="O13" s="116">
        <v>100000</v>
      </c>
      <c r="P13" s="117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66" t="s">
        <v>4</v>
      </c>
      <c r="G14" s="106">
        <f>+G10</f>
        <v>44589</v>
      </c>
      <c r="H14" s="107"/>
      <c r="I14" s="108" t="s">
        <v>28</v>
      </c>
      <c r="J14" s="109"/>
      <c r="K14" s="110">
        <v>24</v>
      </c>
      <c r="L14" s="111"/>
      <c r="M14" s="108" t="s">
        <v>31</v>
      </c>
      <c r="N14" s="109"/>
      <c r="O14" s="112">
        <v>0.02</v>
      </c>
      <c r="P14" s="113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76" t="s">
        <v>11</v>
      </c>
      <c r="J16" s="77" t="s">
        <v>17</v>
      </c>
      <c r="K16" s="77" t="s">
        <v>12</v>
      </c>
      <c r="L16" s="78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79">
        <f t="shared" ref="I17:I23" si="0">+F31</f>
        <v>44679</v>
      </c>
      <c r="J17" s="68">
        <f t="shared" ref="J17:J18" si="1">+$O$13*K31/100</f>
        <v>0</v>
      </c>
      <c r="K17" s="69">
        <f>+$O$13*J31/100</f>
        <v>493.15068493150682</v>
      </c>
      <c r="L17" s="21">
        <f>SUM(J17:K17)</f>
        <v>493.15068493150682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79">
        <f t="shared" si="0"/>
        <v>44770</v>
      </c>
      <c r="J18" s="68">
        <f t="shared" si="1"/>
        <v>0</v>
      </c>
      <c r="K18" s="67">
        <f t="shared" ref="K18" si="2">+$O$13*J32/100</f>
        <v>498.63013698630135</v>
      </c>
      <c r="L18" s="21">
        <f t="shared" ref="L18:L24" si="3">SUM(J18:K18)</f>
        <v>498.63013698630135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79">
        <f t="shared" si="0"/>
        <v>44862</v>
      </c>
      <c r="J19" s="68">
        <f t="shared" ref="J19:J22" si="4">+$O$13*K33/100</f>
        <v>0</v>
      </c>
      <c r="K19" s="67">
        <f t="shared" ref="K19:K22" si="5">+$O$13*J33/100</f>
        <v>504.10958904109589</v>
      </c>
      <c r="L19" s="21">
        <f t="shared" ref="L19:L22" si="6">SUM(J19:K19)</f>
        <v>504.10958904109589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79">
        <f t="shared" si="0"/>
        <v>44954</v>
      </c>
      <c r="J20" s="68">
        <f t="shared" si="4"/>
        <v>33000</v>
      </c>
      <c r="K20" s="67">
        <f t="shared" si="5"/>
        <v>504.10958904109589</v>
      </c>
      <c r="L20" s="21">
        <f t="shared" si="6"/>
        <v>33504.109589041094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79">
        <f t="shared" si="0"/>
        <v>45044</v>
      </c>
      <c r="J21" s="68">
        <f t="shared" si="4"/>
        <v>0</v>
      </c>
      <c r="K21" s="67">
        <f t="shared" si="5"/>
        <v>330.41095890410958</v>
      </c>
      <c r="L21" s="21">
        <f t="shared" si="6"/>
        <v>330.41095890410958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79">
        <f t="shared" si="0"/>
        <v>45135</v>
      </c>
      <c r="J22" s="68">
        <f t="shared" si="4"/>
        <v>33000</v>
      </c>
      <c r="K22" s="67">
        <f t="shared" si="5"/>
        <v>334.08219178082197</v>
      </c>
      <c r="L22" s="21">
        <f t="shared" si="6"/>
        <v>33334.082191780821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79">
        <f t="shared" si="0"/>
        <v>45227</v>
      </c>
      <c r="J23" s="68">
        <f>+$O$13*K37/100</f>
        <v>0</v>
      </c>
      <c r="K23" s="67">
        <f>+$O$13*J37/100</f>
        <v>171.39726027397262</v>
      </c>
      <c r="L23" s="21">
        <f t="shared" si="3"/>
        <v>171.39726027397262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79">
        <f>+F38</f>
        <v>45319</v>
      </c>
      <c r="J24" s="68">
        <f>+$O$13*K38/100</f>
        <v>34000</v>
      </c>
      <c r="K24" s="67">
        <f>+$O$13*J38/100</f>
        <v>171.39726027397262</v>
      </c>
      <c r="L24" s="21">
        <f t="shared" si="3"/>
        <v>34171.397260273974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80" t="s">
        <v>13</v>
      </c>
      <c r="J25" s="81">
        <f>SUM(J17:J24)</f>
        <v>100000</v>
      </c>
      <c r="K25" s="81">
        <f>SUM(K17:K24)</f>
        <v>3007.2876712328771</v>
      </c>
      <c r="L25" s="82">
        <f>SUM(J25:K25)</f>
        <v>103007.28767123287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24" t="s">
        <v>18</v>
      </c>
      <c r="G27" s="126" t="s">
        <v>36</v>
      </c>
      <c r="H27" s="126" t="s">
        <v>14</v>
      </c>
      <c r="I27" s="126" t="s">
        <v>22</v>
      </c>
      <c r="J27" s="118" t="s">
        <v>21</v>
      </c>
      <c r="K27" s="118" t="s">
        <v>5</v>
      </c>
      <c r="L27" s="118" t="s">
        <v>15</v>
      </c>
      <c r="M27" s="120" t="s">
        <v>6</v>
      </c>
      <c r="N27" s="122" t="s">
        <v>16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V27" s="9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25"/>
      <c r="G28" s="127"/>
      <c r="H28" s="127"/>
      <c r="I28" s="127"/>
      <c r="J28" s="119"/>
      <c r="K28" s="119"/>
      <c r="L28" s="119"/>
      <c r="M28" s="121"/>
      <c r="N28" s="123"/>
      <c r="Q28" s="10"/>
      <c r="R28" s="11">
        <f>+K10</f>
        <v>2.0150545239448554E-2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70"/>
      <c r="G29" s="50"/>
      <c r="H29" s="50"/>
      <c r="I29" s="20">
        <f>+I30</f>
        <v>0.02</v>
      </c>
      <c r="J29" s="51"/>
      <c r="K29" s="51"/>
      <c r="L29" s="52">
        <f>+L30</f>
        <v>100</v>
      </c>
      <c r="M29" s="53"/>
      <c r="N29" s="71"/>
      <c r="Q29" s="10"/>
      <c r="R29" s="11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44589</v>
      </c>
      <c r="C30" s="32"/>
      <c r="D30" s="30">
        <f>+G14</f>
        <v>44589</v>
      </c>
      <c r="E30" s="39">
        <f>+G10</f>
        <v>44589</v>
      </c>
      <c r="F30" s="59">
        <f>+E30</f>
        <v>44589</v>
      </c>
      <c r="G30" s="60"/>
      <c r="H30" s="60"/>
      <c r="I30" s="61">
        <f t="shared" ref="I30:I38" si="7">+$O$14</f>
        <v>0.02</v>
      </c>
      <c r="J30" s="60"/>
      <c r="K30" s="60"/>
      <c r="L30" s="62">
        <v>100</v>
      </c>
      <c r="M30" s="62">
        <f>-O12*100</f>
        <v>-100</v>
      </c>
      <c r="N30" s="63">
        <f>+O13*-1</f>
        <v>-100000</v>
      </c>
      <c r="O30" s="1"/>
      <c r="P30" s="1"/>
      <c r="Q30" s="16">
        <f t="shared" ref="Q30:Q39" si="8">H30/365</f>
        <v>0</v>
      </c>
      <c r="R30" s="16">
        <f t="shared" ref="R30:R39" si="9">1/(1+$K$10)^(H30/365)</f>
        <v>1</v>
      </c>
      <c r="S30" s="17">
        <f t="shared" ref="S30:S38" si="10">+M30</f>
        <v>-100</v>
      </c>
      <c r="T30" s="17">
        <f t="shared" ref="T30:T38" si="11">+S30*R30</f>
        <v>-100</v>
      </c>
      <c r="U30" s="17">
        <f t="shared" ref="U30:U38" si="12">+T30*Q30</f>
        <v>0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44679</v>
      </c>
      <c r="C31" s="32">
        <f t="shared" ref="C31:C38" si="13">+B31-B30</f>
        <v>90</v>
      </c>
      <c r="D31" s="30">
        <f t="shared" ref="D31:D32" si="14">+F31</f>
        <v>44679</v>
      </c>
      <c r="E31" s="39">
        <f t="shared" ref="E31:E32" si="15">+E30+C31</f>
        <v>44679</v>
      </c>
      <c r="F31" s="42">
        <f t="shared" ref="F31:F38" si="16">+E31</f>
        <v>44679</v>
      </c>
      <c r="G31" s="43">
        <f t="shared" ref="G31:G38" si="17">+E31-E30</f>
        <v>90</v>
      </c>
      <c r="H31" s="43">
        <f t="shared" ref="H31:H38" si="18">+IF(F31-$G$14&lt;0,0,F31-$G$14)</f>
        <v>90</v>
      </c>
      <c r="I31" s="41">
        <f t="shared" si="7"/>
        <v>0.02</v>
      </c>
      <c r="J31" s="44">
        <f t="shared" ref="J31:J38" si="19">+I31/365*G31*L30</f>
        <v>0.49315068493150682</v>
      </c>
      <c r="K31" s="45">
        <v>0</v>
      </c>
      <c r="L31" s="45">
        <f t="shared" ref="L31:L38" si="20">+L30-K31</f>
        <v>100</v>
      </c>
      <c r="M31" s="45">
        <f t="shared" ref="M31:M38" si="21">+IF(F31&gt;$G$14,J31+K31,0)</f>
        <v>0.49315068493150682</v>
      </c>
      <c r="N31" s="47">
        <f t="shared" ref="N31:N38" si="22">+M31*$O$13/100</f>
        <v>493.15068493150682</v>
      </c>
      <c r="O31" s="1"/>
      <c r="P31" s="1"/>
      <c r="Q31" s="16">
        <f t="shared" si="8"/>
        <v>0.24657534246575341</v>
      </c>
      <c r="R31" s="16">
        <f t="shared" si="9"/>
        <v>0.99509284978728463</v>
      </c>
      <c r="S31" s="17">
        <f t="shared" si="10"/>
        <v>0.49315068493150682</v>
      </c>
      <c r="T31" s="17">
        <f t="shared" si="11"/>
        <v>0.49073072044304444</v>
      </c>
      <c r="U31" s="17">
        <f t="shared" si="12"/>
        <v>0.12100209545170958</v>
      </c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44770</v>
      </c>
      <c r="C32" s="32">
        <f t="shared" si="13"/>
        <v>91</v>
      </c>
      <c r="D32" s="30">
        <f t="shared" si="14"/>
        <v>44770</v>
      </c>
      <c r="E32" s="39">
        <f t="shared" si="15"/>
        <v>44770</v>
      </c>
      <c r="F32" s="42">
        <f t="shared" si="16"/>
        <v>44770</v>
      </c>
      <c r="G32" s="43">
        <f t="shared" si="17"/>
        <v>91</v>
      </c>
      <c r="H32" s="43">
        <f t="shared" si="18"/>
        <v>181</v>
      </c>
      <c r="I32" s="41">
        <f t="shared" si="7"/>
        <v>0.02</v>
      </c>
      <c r="J32" s="44">
        <f t="shared" si="19"/>
        <v>0.49863013698630138</v>
      </c>
      <c r="K32" s="45">
        <v>0</v>
      </c>
      <c r="L32" s="45">
        <f t="shared" si="20"/>
        <v>100</v>
      </c>
      <c r="M32" s="45">
        <f t="shared" si="21"/>
        <v>0.49863013698630138</v>
      </c>
      <c r="N32" s="47">
        <f t="shared" si="22"/>
        <v>498.63013698630135</v>
      </c>
      <c r="O32" s="1"/>
      <c r="P32" s="1"/>
      <c r="Q32" s="16">
        <f t="shared" si="8"/>
        <v>0.49589041095890413</v>
      </c>
      <c r="R32" s="16">
        <f t="shared" si="9"/>
        <v>0.99015565818283147</v>
      </c>
      <c r="S32" s="17">
        <f t="shared" si="10"/>
        <v>0.49863013698630138</v>
      </c>
      <c r="T32" s="17">
        <f t="shared" si="11"/>
        <v>0.49372145147746666</v>
      </c>
      <c r="U32" s="17">
        <f t="shared" si="12"/>
        <v>0.24483173347238757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44862</v>
      </c>
      <c r="C33" s="32">
        <f t="shared" si="13"/>
        <v>92</v>
      </c>
      <c r="D33" s="30">
        <f t="shared" ref="D33:D38" si="23">+F33</f>
        <v>44862</v>
      </c>
      <c r="E33" s="39">
        <f t="shared" ref="E33:E38" si="24">+E32+C33</f>
        <v>44862</v>
      </c>
      <c r="F33" s="42">
        <f t="shared" ref="F33:F36" si="25">+E33</f>
        <v>44862</v>
      </c>
      <c r="G33" s="43">
        <f t="shared" ref="G33:G36" si="26">+E33-E32</f>
        <v>92</v>
      </c>
      <c r="H33" s="43">
        <f t="shared" ref="H33:H36" si="27">+IF(F33-$G$14&lt;0,0,F33-$G$14)</f>
        <v>273</v>
      </c>
      <c r="I33" s="41">
        <f t="shared" si="7"/>
        <v>0.02</v>
      </c>
      <c r="J33" s="44">
        <f t="shared" ref="J33:J36" si="28">+I33/365*G33*L32</f>
        <v>0.50410958904109593</v>
      </c>
      <c r="K33" s="45">
        <v>0</v>
      </c>
      <c r="L33" s="45">
        <f t="shared" ref="L33:L36" si="29">+L32-K33</f>
        <v>100</v>
      </c>
      <c r="M33" s="45">
        <f t="shared" ref="M33:M36" si="30">+IF(F33&gt;$G$14,J33+K33,0)</f>
        <v>0.50410958904109593</v>
      </c>
      <c r="N33" s="47">
        <f t="shared" ref="N33:N36" si="31">+M33*$O$13/100</f>
        <v>504.10958904109589</v>
      </c>
      <c r="O33" s="1"/>
      <c r="P33" s="1"/>
      <c r="Q33" s="16">
        <f t="shared" ref="Q33:Q36" si="32">H33/365</f>
        <v>0.74794520547945209</v>
      </c>
      <c r="R33" s="16">
        <f t="shared" ref="R33:R36" si="33">1/(1+$K$10)^(H33/365)</f>
        <v>0.98518911259965836</v>
      </c>
      <c r="S33" s="17">
        <f t="shared" ref="S33:S36" si="34">+M33</f>
        <v>0.50410958904109593</v>
      </c>
      <c r="T33" s="17">
        <f t="shared" ref="T33:T36" si="35">+S33*R33</f>
        <v>0.49664327868037578</v>
      </c>
      <c r="U33" s="17">
        <f t="shared" ref="U33:U36" si="36">+T33*Q33</f>
        <v>0.37146195912258245</v>
      </c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44954</v>
      </c>
      <c r="C34" s="32">
        <f t="shared" si="13"/>
        <v>92</v>
      </c>
      <c r="D34" s="30">
        <f t="shared" si="23"/>
        <v>44954</v>
      </c>
      <c r="E34" s="39">
        <f t="shared" si="24"/>
        <v>44954</v>
      </c>
      <c r="F34" s="42">
        <f t="shared" si="25"/>
        <v>44954</v>
      </c>
      <c r="G34" s="43">
        <f t="shared" si="26"/>
        <v>92</v>
      </c>
      <c r="H34" s="43">
        <f t="shared" si="27"/>
        <v>365</v>
      </c>
      <c r="I34" s="41">
        <f t="shared" si="7"/>
        <v>0.02</v>
      </c>
      <c r="J34" s="44">
        <f t="shared" si="28"/>
        <v>0.50410958904109593</v>
      </c>
      <c r="K34" s="45">
        <v>33</v>
      </c>
      <c r="L34" s="45">
        <f t="shared" si="29"/>
        <v>67</v>
      </c>
      <c r="M34" s="45">
        <f t="shared" si="30"/>
        <v>33.504109589041093</v>
      </c>
      <c r="N34" s="47">
        <f t="shared" si="31"/>
        <v>33504.109589041094</v>
      </c>
      <c r="O34" s="1"/>
      <c r="P34" s="1"/>
      <c r="Q34" s="16">
        <f t="shared" si="32"/>
        <v>1</v>
      </c>
      <c r="R34" s="16">
        <f t="shared" si="33"/>
        <v>0.98024747883194152</v>
      </c>
      <c r="S34" s="17">
        <f t="shared" si="34"/>
        <v>33.504109589041093</v>
      </c>
      <c r="T34" s="17">
        <f t="shared" si="35"/>
        <v>32.842318955166604</v>
      </c>
      <c r="U34" s="17">
        <f t="shared" si="36"/>
        <v>32.842318955166604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45044</v>
      </c>
      <c r="C35" s="32">
        <f t="shared" si="13"/>
        <v>90</v>
      </c>
      <c r="D35" s="30">
        <f t="shared" si="23"/>
        <v>45044</v>
      </c>
      <c r="E35" s="39">
        <f t="shared" si="24"/>
        <v>45044</v>
      </c>
      <c r="F35" s="42">
        <f t="shared" si="25"/>
        <v>45044</v>
      </c>
      <c r="G35" s="43">
        <f t="shared" si="26"/>
        <v>90</v>
      </c>
      <c r="H35" s="43">
        <f t="shared" si="27"/>
        <v>455</v>
      </c>
      <c r="I35" s="41">
        <f t="shared" si="7"/>
        <v>0.02</v>
      </c>
      <c r="J35" s="44">
        <f t="shared" si="28"/>
        <v>0.3304109589041096</v>
      </c>
      <c r="K35" s="45">
        <v>0</v>
      </c>
      <c r="L35" s="45">
        <f t="shared" si="29"/>
        <v>67</v>
      </c>
      <c r="M35" s="45">
        <f t="shared" si="30"/>
        <v>0.3304109589041096</v>
      </c>
      <c r="N35" s="47">
        <f t="shared" si="31"/>
        <v>330.41095890410958</v>
      </c>
      <c r="O35" s="1"/>
      <c r="P35" s="1"/>
      <c r="Q35" s="16">
        <f t="shared" si="32"/>
        <v>1.2465753424657535</v>
      </c>
      <c r="R35" s="16">
        <f t="shared" si="33"/>
        <v>0.97543725720767749</v>
      </c>
      <c r="S35" s="17">
        <f t="shared" si="34"/>
        <v>0.3304109589041096</v>
      </c>
      <c r="T35" s="17">
        <f t="shared" si="35"/>
        <v>0.32229515950478332</v>
      </c>
      <c r="U35" s="17">
        <f t="shared" si="36"/>
        <v>0.40176519883472994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45135</v>
      </c>
      <c r="C36" s="32">
        <f t="shared" si="13"/>
        <v>91</v>
      </c>
      <c r="D36" s="30">
        <f t="shared" si="23"/>
        <v>45135</v>
      </c>
      <c r="E36" s="39">
        <f t="shared" si="24"/>
        <v>45135</v>
      </c>
      <c r="F36" s="42">
        <f t="shared" si="25"/>
        <v>45135</v>
      </c>
      <c r="G36" s="43">
        <f t="shared" si="26"/>
        <v>91</v>
      </c>
      <c r="H36" s="43">
        <f t="shared" si="27"/>
        <v>546</v>
      </c>
      <c r="I36" s="41">
        <f t="shared" si="7"/>
        <v>0.02</v>
      </c>
      <c r="J36" s="44">
        <f t="shared" si="28"/>
        <v>0.33408219178082194</v>
      </c>
      <c r="K36" s="45">
        <v>33</v>
      </c>
      <c r="L36" s="45">
        <f t="shared" si="29"/>
        <v>34</v>
      </c>
      <c r="M36" s="45">
        <f t="shared" si="30"/>
        <v>33.334082191780823</v>
      </c>
      <c r="N36" s="47">
        <f t="shared" si="31"/>
        <v>33334.082191780821</v>
      </c>
      <c r="O36" s="1"/>
      <c r="P36" s="1"/>
      <c r="Q36" s="16">
        <f t="shared" si="32"/>
        <v>1.4958904109589042</v>
      </c>
      <c r="R36" s="16">
        <f t="shared" si="33"/>
        <v>0.97059758758490222</v>
      </c>
      <c r="S36" s="17">
        <f t="shared" si="34"/>
        <v>33.334082191780823</v>
      </c>
      <c r="T36" s="17">
        <f t="shared" si="35"/>
        <v>32.353979759699314</v>
      </c>
      <c r="U36" s="17">
        <f t="shared" si="36"/>
        <v>48.398008078892673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45227</v>
      </c>
      <c r="C37" s="32">
        <f t="shared" si="13"/>
        <v>92</v>
      </c>
      <c r="D37" s="30">
        <f t="shared" si="23"/>
        <v>45227</v>
      </c>
      <c r="E37" s="39">
        <f t="shared" si="24"/>
        <v>45227</v>
      </c>
      <c r="F37" s="42">
        <f t="shared" si="16"/>
        <v>45227</v>
      </c>
      <c r="G37" s="43">
        <f t="shared" si="17"/>
        <v>92</v>
      </c>
      <c r="H37" s="43">
        <f t="shared" si="18"/>
        <v>638</v>
      </c>
      <c r="I37" s="41">
        <f t="shared" si="7"/>
        <v>0.02</v>
      </c>
      <c r="J37" s="44">
        <f t="shared" si="19"/>
        <v>0.17139726027397262</v>
      </c>
      <c r="K37" s="45">
        <v>0</v>
      </c>
      <c r="L37" s="45">
        <f t="shared" si="20"/>
        <v>34</v>
      </c>
      <c r="M37" s="45">
        <f t="shared" si="21"/>
        <v>0.17139726027397262</v>
      </c>
      <c r="N37" s="47">
        <f t="shared" si="22"/>
        <v>171.39726027397262</v>
      </c>
      <c r="O37" s="1"/>
      <c r="P37" s="1"/>
      <c r="Q37" s="16">
        <f t="shared" si="8"/>
        <v>1.747945205479452</v>
      </c>
      <c r="R37" s="16">
        <f t="shared" si="9"/>
        <v>0.96572914379849284</v>
      </c>
      <c r="S37" s="17">
        <f t="shared" si="10"/>
        <v>0.17139726027397262</v>
      </c>
      <c r="T37" s="17">
        <f t="shared" si="11"/>
        <v>0.165523329413791</v>
      </c>
      <c r="U37" s="17">
        <f t="shared" si="12"/>
        <v>0.28932571004383195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45319</v>
      </c>
      <c r="C38" s="32">
        <f t="shared" si="13"/>
        <v>92</v>
      </c>
      <c r="D38" s="30">
        <f t="shared" si="23"/>
        <v>45319</v>
      </c>
      <c r="E38" s="39">
        <f t="shared" si="24"/>
        <v>45319</v>
      </c>
      <c r="F38" s="54">
        <f t="shared" si="16"/>
        <v>45319</v>
      </c>
      <c r="G38" s="48">
        <f t="shared" si="17"/>
        <v>92</v>
      </c>
      <c r="H38" s="48">
        <f t="shared" si="18"/>
        <v>730</v>
      </c>
      <c r="I38" s="49">
        <f t="shared" si="7"/>
        <v>0.02</v>
      </c>
      <c r="J38" s="55">
        <f t="shared" si="19"/>
        <v>0.17139726027397262</v>
      </c>
      <c r="K38" s="56">
        <v>34</v>
      </c>
      <c r="L38" s="56">
        <f t="shared" si="20"/>
        <v>0</v>
      </c>
      <c r="M38" s="56">
        <f t="shared" si="21"/>
        <v>34.17139726027397</v>
      </c>
      <c r="N38" s="57">
        <f t="shared" si="22"/>
        <v>34171.397260273967</v>
      </c>
      <c r="O38" s="1"/>
      <c r="P38" s="1"/>
      <c r="Q38" s="16">
        <f t="shared" si="8"/>
        <v>2</v>
      </c>
      <c r="R38" s="16">
        <f t="shared" si="9"/>
        <v>0.96088511975637769</v>
      </c>
      <c r="S38" s="17">
        <f t="shared" si="10"/>
        <v>34.17139726027397</v>
      </c>
      <c r="T38" s="17">
        <f t="shared" si="11"/>
        <v>32.834787148681109</v>
      </c>
      <c r="U38" s="17">
        <f t="shared" si="12"/>
        <v>65.669574297362217</v>
      </c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8"/>
        <v>0</v>
      </c>
      <c r="R39" s="1">
        <f t="shared" si="9"/>
        <v>1</v>
      </c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3007.2876712328725</v>
      </c>
      <c r="Q40" s="19"/>
      <c r="R40" s="19"/>
      <c r="S40" s="17"/>
      <c r="T40" s="17">
        <f>SUM(T31:T38)</f>
        <v>99.999999803066487</v>
      </c>
      <c r="U40" s="17">
        <f>SUM(U31:U38)</f>
        <v>148.33828802834674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5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7:L28"/>
    <mergeCell ref="M27:M28"/>
    <mergeCell ref="N27:N28"/>
    <mergeCell ref="F27:F28"/>
    <mergeCell ref="G27:G28"/>
    <mergeCell ref="H27:H28"/>
    <mergeCell ref="I27:I28"/>
    <mergeCell ref="J27:J28"/>
    <mergeCell ref="K27:K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CLASE I</vt:lpstr>
      <vt:lpstr>CLASE II</vt:lpstr>
      <vt:lpstr>Feriados</vt:lpstr>
      <vt:lpstr>Hoja2</vt:lpstr>
      <vt:lpstr>'CLASE I'!Área_de_impresión</vt:lpstr>
      <vt:lpstr>'CLASE II'!Área_de_impresión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2022-01-25T14:55:09Z</dcterms:modified>
</cp:coreProperties>
</file>