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RICARDO ALMAR\Difusión\"/>
    </mc:Choice>
  </mc:AlternateContent>
  <bookViews>
    <workbookView xWindow="0" yWindow="0" windowWidth="25200" windowHeight="11490"/>
  </bookViews>
  <sheets>
    <sheet name="CLASE 1" sheetId="12" r:id="rId1"/>
    <sheet name="Feriados" sheetId="5" state="hidden" r:id="rId2"/>
    <sheet name="Hoja2" sheetId="7" state="hidden" r:id="rId3"/>
  </sheets>
  <definedNames>
    <definedName name="_xlnm.Print_Area" localSheetId="0">'CLASE 1'!$D$1:$P$50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2" l="1"/>
  <c r="Q32" i="12" l="1"/>
  <c r="Q33" i="12"/>
  <c r="Q34" i="12"/>
  <c r="Q35" i="12"/>
  <c r="Q36" i="12"/>
  <c r="Q37" i="12"/>
  <c r="J21" i="12"/>
  <c r="J22" i="12"/>
  <c r="J23" i="12"/>
  <c r="I18" i="12"/>
  <c r="I19" i="12"/>
  <c r="I20" i="12"/>
  <c r="I21" i="12"/>
  <c r="I22" i="12"/>
  <c r="I23" i="12"/>
  <c r="I24" i="12"/>
  <c r="J24" i="12"/>
  <c r="J18" i="12"/>
  <c r="J19" i="12"/>
  <c r="J20" i="12"/>
  <c r="O32" i="12"/>
  <c r="I32" i="12" s="1"/>
  <c r="O33" i="12"/>
  <c r="I33" i="12" s="1"/>
  <c r="O34" i="12"/>
  <c r="I34" i="12" s="1"/>
  <c r="O35" i="12"/>
  <c r="I35" i="12" s="1"/>
  <c r="C33" i="12"/>
  <c r="C34" i="12"/>
  <c r="C35" i="12"/>
  <c r="C36" i="12"/>
  <c r="C37" i="12"/>
  <c r="C38" i="12"/>
  <c r="C32" i="12"/>
  <c r="Q30" i="12" l="1"/>
  <c r="S30" i="12"/>
  <c r="Q39" i="12"/>
  <c r="G14" i="12" l="1"/>
  <c r="O37" i="12"/>
  <c r="I37" i="12" s="1"/>
  <c r="O38" i="12"/>
  <c r="I38" i="12" s="1"/>
  <c r="O36" i="12"/>
  <c r="I36" i="12" s="1"/>
  <c r="I31" i="12"/>
  <c r="K40" i="12" l="1"/>
  <c r="L31" i="12"/>
  <c r="L32" i="12" s="1"/>
  <c r="L33" i="12" s="1"/>
  <c r="L34" i="12" s="1"/>
  <c r="L35" i="12" s="1"/>
  <c r="L36" i="12" s="1"/>
  <c r="L37" i="12" s="1"/>
  <c r="N30" i="12"/>
  <c r="M30" i="12"/>
  <c r="I30" i="12"/>
  <c r="I29" i="12" s="1"/>
  <c r="E30" i="12"/>
  <c r="F30" i="12" s="1"/>
  <c r="B30" i="12"/>
  <c r="C31" i="12" s="1"/>
  <c r="L29" i="12"/>
  <c r="J17" i="12"/>
  <c r="D30" i="12"/>
  <c r="J25" i="12" l="1"/>
  <c r="E31" i="12"/>
  <c r="E32" i="12" s="1"/>
  <c r="G32" i="12" l="1"/>
  <c r="J32" i="12" s="1"/>
  <c r="F32" i="12"/>
  <c r="E33" i="12"/>
  <c r="L38" i="12"/>
  <c r="G31" i="12"/>
  <c r="J31" i="12" s="1"/>
  <c r="K17" i="12" s="1"/>
  <c r="F31" i="12"/>
  <c r="M32" i="12" l="1"/>
  <c r="K18" i="12"/>
  <c r="L18" i="12" s="1"/>
  <c r="E34" i="12"/>
  <c r="G33" i="12"/>
  <c r="J33" i="12" s="1"/>
  <c r="K19" i="12" s="1"/>
  <c r="L19" i="12" s="1"/>
  <c r="F33" i="12"/>
  <c r="D32" i="12"/>
  <c r="H32" i="12"/>
  <c r="L17" i="12"/>
  <c r="M31" i="12"/>
  <c r="H31" i="12"/>
  <c r="Q31" i="12" s="1"/>
  <c r="D31" i="12"/>
  <c r="I17" i="12"/>
  <c r="N32" i="12" l="1"/>
  <c r="S32" i="12"/>
  <c r="D33" i="12"/>
  <c r="H33" i="12"/>
  <c r="M33" i="12"/>
  <c r="F34" i="12"/>
  <c r="G34" i="12"/>
  <c r="J34" i="12" s="1"/>
  <c r="K20" i="12" s="1"/>
  <c r="L20" i="12" s="1"/>
  <c r="E35" i="12"/>
  <c r="N31" i="12"/>
  <c r="S31" i="12"/>
  <c r="N33" i="12" l="1"/>
  <c r="S33" i="12"/>
  <c r="D34" i="12"/>
  <c r="H34" i="12"/>
  <c r="E36" i="12"/>
  <c r="G35" i="12"/>
  <c r="J35" i="12" s="1"/>
  <c r="F35" i="12"/>
  <c r="M34" i="12"/>
  <c r="N34" i="12" l="1"/>
  <c r="S34" i="12"/>
  <c r="M35" i="12"/>
  <c r="K21" i="12"/>
  <c r="L21" i="12" s="1"/>
  <c r="E37" i="12"/>
  <c r="G36" i="12"/>
  <c r="J36" i="12" s="1"/>
  <c r="K22" i="12" s="1"/>
  <c r="L22" i="12" s="1"/>
  <c r="F36" i="12"/>
  <c r="D35" i="12"/>
  <c r="H35" i="12"/>
  <c r="N35" i="12" l="1"/>
  <c r="S35" i="12"/>
  <c r="M36" i="12"/>
  <c r="S36" i="12" s="1"/>
  <c r="H36" i="12"/>
  <c r="D36" i="12"/>
  <c r="E38" i="12"/>
  <c r="G37" i="12"/>
  <c r="J37" i="12" s="1"/>
  <c r="K23" i="12" s="1"/>
  <c r="L23" i="12" s="1"/>
  <c r="F37" i="12"/>
  <c r="D37" i="12" l="1"/>
  <c r="H37" i="12"/>
  <c r="G38" i="12"/>
  <c r="J38" i="12" s="1"/>
  <c r="K24" i="12" s="1"/>
  <c r="L24" i="12" s="1"/>
  <c r="F38" i="12"/>
  <c r="M37" i="12"/>
  <c r="S37" i="12" s="1"/>
  <c r="N36" i="12"/>
  <c r="N37" i="12" l="1"/>
  <c r="M38" i="12"/>
  <c r="G11" i="12"/>
  <c r="D38" i="12"/>
  <c r="H38" i="12"/>
  <c r="Q38" i="12" s="1"/>
  <c r="N38" i="12" l="1"/>
  <c r="K10" i="12" s="1"/>
  <c r="S38" i="12"/>
  <c r="K25" i="12"/>
  <c r="L25" i="12" s="1"/>
  <c r="D2" i="7"/>
  <c r="R33" i="12" l="1"/>
  <c r="T33" i="12" s="1"/>
  <c r="U33" i="12" s="1"/>
  <c r="R35" i="12"/>
  <c r="T35" i="12" s="1"/>
  <c r="U35" i="12" s="1"/>
  <c r="R36" i="12"/>
  <c r="T36" i="12" s="1"/>
  <c r="U36" i="12" s="1"/>
  <c r="R32" i="12"/>
  <c r="T32" i="12" s="1"/>
  <c r="U32" i="12" s="1"/>
  <c r="R34" i="12"/>
  <c r="T34" i="12" s="1"/>
  <c r="U34" i="12" s="1"/>
  <c r="R37" i="12"/>
  <c r="T37" i="12" s="1"/>
  <c r="U37" i="12" s="1"/>
  <c r="R30" i="12"/>
  <c r="T30" i="12" s="1"/>
  <c r="U30" i="12" s="1"/>
  <c r="R28" i="12"/>
  <c r="R38" i="12"/>
  <c r="T38" i="12" s="1"/>
  <c r="U38" i="12" s="1"/>
  <c r="R31" i="12"/>
  <c r="T31" i="12" s="1"/>
  <c r="R39" i="12"/>
  <c r="N40" i="12"/>
  <c r="T40" i="12" l="1"/>
  <c r="U31" i="12"/>
  <c r="U40" i="12" s="1"/>
  <c r="K12" i="1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iserte manualmente por período</t>
        </r>
      </text>
    </comment>
  </commentList>
</comments>
</file>

<file path=xl/sharedStrings.xml><?xml version="1.0" encoding="utf-8"?>
<sst xmlns="http://schemas.openxmlformats.org/spreadsheetml/2006/main" count="43" uniqueCount="42">
  <si>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</si>
  <si>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</si>
  <si>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</si>
  <si>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</si>
  <si>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</si>
  <si>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</si>
  <si>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</si>
  <si>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</si>
  <si>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</si>
  <si>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</si>
  <si>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</si>
  <si>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</si>
  <si>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</si>
  <si>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</si>
  <si>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</si>
  <si>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</si>
  <si>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</si>
  <si>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</si>
  <si>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</si>
  <si>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</si>
  <si>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</si>
  <si>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</si>
  <si>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</si>
  <si>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</si>
  <si>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</si>
  <si>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</si>
  <si>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Plazo (meses):</t>
  </si>
  <si>
    <t>Intereses:</t>
  </si>
  <si>
    <t>Cupón:</t>
  </si>
  <si>
    <t>Duration (meses):</t>
  </si>
  <si>
    <t>Moneda:</t>
  </si>
  <si>
    <t>Días Dev.</t>
  </si>
  <si>
    <t>V/N:</t>
  </si>
  <si>
    <t>s/c</t>
  </si>
  <si>
    <t>Badlar Proyectada</t>
  </si>
  <si>
    <t>Pesos</t>
  </si>
  <si>
    <t>Margen a licitar:</t>
  </si>
  <si>
    <t>Calificación:</t>
  </si>
  <si>
    <t xml:space="preserve"> </t>
  </si>
  <si>
    <t>B + Mg</t>
  </si>
  <si>
    <t>ON Pyme CNV Garantizada Ricardo Almar e Hijos SA Clase 1 (Badlar 24 meses)</t>
  </si>
  <si>
    <t>Trimestrales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</si>
</sst>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4" fontId="10" fillId="0" borderId="2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66" fontId="3" fillId="4" borderId="6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164" fontId="2" fillId="0" borderId="0" xfId="1" applyFont="1" applyFill="1" applyAlignment="1" applyProtection="1">
      <alignment horizontal="center" vertical="center"/>
    </xf>
    <xf numFmtId="43" fontId="2" fillId="0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center" vertical="center"/>
    </xf>
    <xf numFmtId="43" fontId="2" fillId="0" borderId="0" xfId="0" applyNumberFormat="1" applyFont="1" applyFill="1" applyProtection="1"/>
    <xf numFmtId="164" fontId="2" fillId="0" borderId="0" xfId="0" applyNumberFormat="1" applyFont="1" applyFill="1" applyProtection="1"/>
    <xf numFmtId="10" fontId="2" fillId="0" borderId="0" xfId="0" applyNumberFormat="1" applyFont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14</xdr:col>
      <xdr:colOff>295275</xdr:colOff>
      <xdr:row>1</xdr:row>
      <xdr:rowOff>104775</xdr:rowOff>
    </xdr:from>
    <xdr:to>
      <xdr:col>15</xdr:col>
      <xdr:colOff>342901</xdr:colOff>
      <xdr:row>6</xdr:row>
      <xdr:rowOff>28575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61" t="17820" r="43008" b="15853"/>
        <a:stretch/>
      </xdr:blipFill>
      <xdr:spPr>
        <a:xfrm>
          <a:off x="13458825" y="247650"/>
          <a:ext cx="790576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tabSelected="1" zoomScaleNormal="100" zoomScaleSheetLayoutView="130" workbookViewId="0">
      <selection activeCell="M4" sqref="M4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121" t="s">
        <v>40</v>
      </c>
      <c r="G8" s="122"/>
      <c r="H8" s="122"/>
      <c r="I8" s="122"/>
      <c r="J8" s="122"/>
      <c r="K8" s="122"/>
      <c r="L8" s="122"/>
      <c r="M8" s="122"/>
      <c r="N8" s="122"/>
      <c r="O8" s="123"/>
      <c r="P8" s="124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9" t="s">
        <v>0</v>
      </c>
      <c r="G10" s="125">
        <v>44739</v>
      </c>
      <c r="H10" s="126"/>
      <c r="I10" s="127" t="s">
        <v>1</v>
      </c>
      <c r="J10" s="128"/>
      <c r="K10" s="129">
        <f>XIRR(N30:N38,D30:D38)</f>
        <v>0.61156854033470154</v>
      </c>
      <c r="L10" s="130"/>
      <c r="M10" s="127" t="s">
        <v>27</v>
      </c>
      <c r="N10" s="128"/>
      <c r="O10" s="129" t="s">
        <v>41</v>
      </c>
      <c r="P10" s="130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0" t="s">
        <v>3</v>
      </c>
      <c r="G11" s="115">
        <f>+F38</f>
        <v>45470</v>
      </c>
      <c r="H11" s="116"/>
      <c r="I11" s="101" t="s">
        <v>19</v>
      </c>
      <c r="J11" s="102"/>
      <c r="K11" s="117">
        <f>+NOMINAL(K10,4)</f>
        <v>0.50684048096621126</v>
      </c>
      <c r="L11" s="118"/>
      <c r="M11" s="101" t="s">
        <v>30</v>
      </c>
      <c r="N11" s="102"/>
      <c r="O11" s="119" t="s">
        <v>35</v>
      </c>
      <c r="P11" s="120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70" t="s">
        <v>28</v>
      </c>
      <c r="G12" s="117" t="s">
        <v>39</v>
      </c>
      <c r="H12" s="118"/>
      <c r="I12" s="101" t="s">
        <v>29</v>
      </c>
      <c r="J12" s="102"/>
      <c r="K12" s="103">
        <f>+(U40/T40)*12</f>
        <v>10.500841152515246</v>
      </c>
      <c r="L12" s="104"/>
      <c r="M12" s="101" t="s">
        <v>2</v>
      </c>
      <c r="N12" s="102"/>
      <c r="O12" s="117">
        <v>1</v>
      </c>
      <c r="P12" s="118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0"/>
      <c r="G13" s="99"/>
      <c r="H13" s="100"/>
      <c r="I13" s="101" t="s">
        <v>37</v>
      </c>
      <c r="J13" s="102"/>
      <c r="K13" s="103" t="s">
        <v>33</v>
      </c>
      <c r="L13" s="104"/>
      <c r="M13" s="101" t="s">
        <v>32</v>
      </c>
      <c r="N13" s="102"/>
      <c r="O13" s="105">
        <v>100000000</v>
      </c>
      <c r="P13" s="106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1" t="s">
        <v>4</v>
      </c>
      <c r="G14" s="107">
        <f>+$G$10</f>
        <v>44739</v>
      </c>
      <c r="H14" s="108"/>
      <c r="I14" s="109" t="s">
        <v>26</v>
      </c>
      <c r="J14" s="110"/>
      <c r="K14" s="111">
        <v>24</v>
      </c>
      <c r="L14" s="112"/>
      <c r="M14" s="109" t="s">
        <v>36</v>
      </c>
      <c r="N14" s="110"/>
      <c r="O14" s="113">
        <v>0.04</v>
      </c>
      <c r="P14" s="114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2" t="s">
        <v>11</v>
      </c>
      <c r="J16" s="73" t="s">
        <v>17</v>
      </c>
      <c r="K16" s="73" t="s">
        <v>12</v>
      </c>
      <c r="L16" s="74" t="s">
        <v>13</v>
      </c>
      <c r="M16" s="8"/>
      <c r="N16" s="8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5">
        <f t="shared" ref="I17:I24" si="0">+F31</f>
        <v>44831</v>
      </c>
      <c r="J17" s="65">
        <f>+$O$13*K31/100</f>
        <v>12500000</v>
      </c>
      <c r="K17" s="66">
        <f>+$O$13*J31/100</f>
        <v>12776027.397260273</v>
      </c>
      <c r="L17" s="21">
        <f>SUM(J17:K17)</f>
        <v>25276027.397260271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5">
        <f t="shared" si="0"/>
        <v>44922</v>
      </c>
      <c r="J18" s="65">
        <f>+$O$13*K32/100</f>
        <v>12500000</v>
      </c>
      <c r="K18" s="64">
        <f t="shared" ref="K18:K24" si="1">+$O$13*J32/100</f>
        <v>11057512.842465756</v>
      </c>
      <c r="L18" s="21">
        <f t="shared" ref="L18:L24" si="2">SUM(J18:K18)</f>
        <v>23557512.842465758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5">
        <f t="shared" si="0"/>
        <v>45012</v>
      </c>
      <c r="J19" s="65">
        <f>+$O$13*K33/100</f>
        <v>12500000</v>
      </c>
      <c r="K19" s="64">
        <f t="shared" si="1"/>
        <v>9373715.7534246556</v>
      </c>
      <c r="L19" s="21">
        <f t="shared" si="2"/>
        <v>21873715.753424656</v>
      </c>
      <c r="M19" s="8"/>
      <c r="O19" s="31" t="s">
        <v>38</v>
      </c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5">
        <f t="shared" si="0"/>
        <v>45104</v>
      </c>
      <c r="J20" s="65">
        <f>+$O$13*K34/100</f>
        <v>12500000</v>
      </c>
      <c r="K20" s="64">
        <f t="shared" si="1"/>
        <v>7985017.1232876703</v>
      </c>
      <c r="L20" s="21">
        <f t="shared" si="2"/>
        <v>20485017.12328767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5">
        <f t="shared" si="0"/>
        <v>45196</v>
      </c>
      <c r="J21" s="65">
        <f>+$O$13*K35/100</f>
        <v>12500000</v>
      </c>
      <c r="K21" s="64">
        <f t="shared" si="1"/>
        <v>6388013.6986301364</v>
      </c>
      <c r="L21" s="21">
        <f t="shared" si="2"/>
        <v>18888013.698630136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75">
        <f t="shared" si="0"/>
        <v>45287</v>
      </c>
      <c r="J22" s="65">
        <f>+$O$13*K36/100</f>
        <v>12500000</v>
      </c>
      <c r="K22" s="64">
        <f t="shared" si="1"/>
        <v>4738934.0753424661</v>
      </c>
      <c r="L22" s="21">
        <f t="shared" si="2"/>
        <v>17238934.075342465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75">
        <f t="shared" si="0"/>
        <v>45378</v>
      </c>
      <c r="J23" s="65">
        <f>+$O$13*K37/100</f>
        <v>12500000</v>
      </c>
      <c r="K23" s="64">
        <f t="shared" si="1"/>
        <v>3159289.3835616438</v>
      </c>
      <c r="L23" s="21">
        <f t="shared" si="2"/>
        <v>15659289.383561645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75">
        <f t="shared" si="0"/>
        <v>45470</v>
      </c>
      <c r="J24" s="65">
        <f t="shared" ref="J21:J24" si="3">+$O$13*K38/100</f>
        <v>12500000</v>
      </c>
      <c r="K24" s="64">
        <f t="shared" si="1"/>
        <v>1597003.4246575341</v>
      </c>
      <c r="L24" s="21">
        <f t="shared" si="2"/>
        <v>14097003.424657535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76" t="s">
        <v>13</v>
      </c>
      <c r="J25" s="77">
        <f>SUM(J17:J24)</f>
        <v>100000000</v>
      </c>
      <c r="K25" s="77">
        <f>SUM(K17:K24)</f>
        <v>57075513.698630139</v>
      </c>
      <c r="L25" s="78">
        <f>SUM(J25:K25)</f>
        <v>157075513.69863015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95" t="s">
        <v>18</v>
      </c>
      <c r="G27" s="97" t="s">
        <v>31</v>
      </c>
      <c r="H27" s="97" t="s">
        <v>14</v>
      </c>
      <c r="I27" s="97" t="s">
        <v>22</v>
      </c>
      <c r="J27" s="89" t="s">
        <v>21</v>
      </c>
      <c r="K27" s="89" t="s">
        <v>5</v>
      </c>
      <c r="L27" s="89" t="s">
        <v>15</v>
      </c>
      <c r="M27" s="91" t="s">
        <v>6</v>
      </c>
      <c r="N27" s="93" t="s">
        <v>16</v>
      </c>
      <c r="O27" s="93" t="s">
        <v>34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V27" s="9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96"/>
      <c r="G28" s="98"/>
      <c r="H28" s="98"/>
      <c r="I28" s="98"/>
      <c r="J28" s="90"/>
      <c r="K28" s="90"/>
      <c r="L28" s="90"/>
      <c r="M28" s="92"/>
      <c r="N28" s="94"/>
      <c r="O28" s="94"/>
      <c r="Q28" s="10"/>
      <c r="R28" s="11">
        <f>+K10</f>
        <v>0.61156854033470154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67"/>
      <c r="G29" s="50"/>
      <c r="H29" s="50"/>
      <c r="I29" s="20">
        <f>+I30</f>
        <v>0.04</v>
      </c>
      <c r="J29" s="51"/>
      <c r="K29" s="51"/>
      <c r="L29" s="52">
        <f>+L30</f>
        <v>100</v>
      </c>
      <c r="M29" s="53"/>
      <c r="N29" s="68"/>
      <c r="Q29" s="10"/>
      <c r="R29" s="11"/>
      <c r="W29" s="82"/>
      <c r="X29" s="82"/>
      <c r="Y29" s="82"/>
      <c r="Z29" s="82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44739</v>
      </c>
      <c r="C30" s="32"/>
      <c r="D30" s="30">
        <f>+G14</f>
        <v>44739</v>
      </c>
      <c r="E30" s="39">
        <f>+G10</f>
        <v>44739</v>
      </c>
      <c r="F30" s="59">
        <f>+E30</f>
        <v>44739</v>
      </c>
      <c r="G30" s="60"/>
      <c r="H30" s="60"/>
      <c r="I30" s="61">
        <f t="shared" ref="I30" si="4">+$O$14</f>
        <v>0.04</v>
      </c>
      <c r="J30" s="60"/>
      <c r="K30" s="60"/>
      <c r="L30" s="62">
        <v>100</v>
      </c>
      <c r="M30" s="62">
        <f>-O12*100</f>
        <v>-100</v>
      </c>
      <c r="N30" s="63">
        <f>+O13*-1</f>
        <v>-100000000</v>
      </c>
      <c r="O30" s="63"/>
      <c r="P30" s="1"/>
      <c r="Q30" s="16">
        <f t="shared" ref="Q30:Q39" si="5">H30/365</f>
        <v>0</v>
      </c>
      <c r="R30" s="16">
        <f t="shared" ref="R30:R39" si="6">1/(1+$K$10)^(H30/365)</f>
        <v>1</v>
      </c>
      <c r="S30" s="17">
        <f t="shared" ref="S30:S38" si="7">+M30</f>
        <v>-100</v>
      </c>
      <c r="T30" s="17">
        <f t="shared" ref="T30:T38" si="8">+S30*R30</f>
        <v>-100</v>
      </c>
      <c r="U30" s="17">
        <f t="shared" ref="U30:U38" si="9">+T30*Q30</f>
        <v>0</v>
      </c>
      <c r="W30" s="83"/>
      <c r="X30" s="83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44831</v>
      </c>
      <c r="C31" s="32">
        <f t="shared" ref="C31:C32" si="10">+B31-B30</f>
        <v>92</v>
      </c>
      <c r="D31" s="30">
        <f t="shared" ref="D31:D32" si="11">+F31</f>
        <v>44831</v>
      </c>
      <c r="E31" s="39">
        <f t="shared" ref="E31:E38" si="12">+E30+C31</f>
        <v>44831</v>
      </c>
      <c r="F31" s="42">
        <f t="shared" ref="F31:F38" si="13">+E31</f>
        <v>44831</v>
      </c>
      <c r="G31" s="43">
        <f t="shared" ref="G31:G38" si="14">+E31-E30</f>
        <v>92</v>
      </c>
      <c r="H31" s="43">
        <f t="shared" ref="H31:H38" si="15">+IF(F31-$G$14&lt;0,0,F31-$G$14)</f>
        <v>92</v>
      </c>
      <c r="I31" s="41">
        <f>+$O$14+O31</f>
        <v>0.50687499999999996</v>
      </c>
      <c r="J31" s="44">
        <f t="shared" ref="J31:J38" si="16">+I31/365*G31*L30</f>
        <v>12.776027397260274</v>
      </c>
      <c r="K31" s="45">
        <v>12.5</v>
      </c>
      <c r="L31" s="45">
        <f t="shared" ref="L31:L38" si="17">+L30-K31</f>
        <v>87.5</v>
      </c>
      <c r="M31" s="45">
        <f t="shared" ref="M31:M38" si="18">+IF(F31&gt;$G$14,J31+K31,0)</f>
        <v>25.276027397260272</v>
      </c>
      <c r="N31" s="47">
        <f t="shared" ref="N31:N38" si="19">+M31*$O$13/100</f>
        <v>25276027.397260271</v>
      </c>
      <c r="O31" s="79">
        <v>0.46687499999999998</v>
      </c>
      <c r="P31" s="1"/>
      <c r="Q31" s="16">
        <f t="shared" si="5"/>
        <v>0.25205479452054796</v>
      </c>
      <c r="R31" s="16">
        <f t="shared" si="6"/>
        <v>0.88666987041362511</v>
      </c>
      <c r="S31" s="17">
        <f t="shared" si="7"/>
        <v>25.276027397260272</v>
      </c>
      <c r="T31" s="81">
        <f t="shared" si="8"/>
        <v>22.411491936900003</v>
      </c>
      <c r="U31" s="17">
        <f t="shared" si="9"/>
        <v>5.6489239950542478</v>
      </c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44922</v>
      </c>
      <c r="C32" s="32">
        <f t="shared" si="10"/>
        <v>91</v>
      </c>
      <c r="D32" s="30">
        <f t="shared" si="11"/>
        <v>44922</v>
      </c>
      <c r="E32" s="39">
        <f t="shared" si="12"/>
        <v>44922</v>
      </c>
      <c r="F32" s="42">
        <f t="shared" si="13"/>
        <v>44922</v>
      </c>
      <c r="G32" s="43">
        <f t="shared" ref="G32:G37" si="20">+E32-E31</f>
        <v>91</v>
      </c>
      <c r="H32" s="43">
        <f t="shared" ref="H32:H37" si="21">+IF(F32-$G$14&lt;0,0,F32-$G$14)</f>
        <v>183</v>
      </c>
      <c r="I32" s="41">
        <f t="shared" ref="I32:I37" si="22">+$O$14+O32</f>
        <v>0.50687499999999996</v>
      </c>
      <c r="J32" s="44">
        <f t="shared" ref="J32:J37" si="23">+I32/365*G32*L31</f>
        <v>11.057512842465755</v>
      </c>
      <c r="K32" s="45">
        <v>12.5</v>
      </c>
      <c r="L32" s="45">
        <f t="shared" ref="L32:L37" si="24">+L31-K32</f>
        <v>75</v>
      </c>
      <c r="M32" s="45">
        <f t="shared" ref="M32:M37" si="25">+IF(F32&gt;$G$14,J32+K32,0)</f>
        <v>23.557512842465755</v>
      </c>
      <c r="N32" s="47">
        <f t="shared" ref="N32:N37" si="26">+M32*$O$13/100</f>
        <v>23557512.842465755</v>
      </c>
      <c r="O32" s="79">
        <f t="shared" ref="O32:O35" si="27">+$O$31</f>
        <v>0.46687499999999998</v>
      </c>
      <c r="P32" s="1"/>
      <c r="Q32" s="16">
        <f t="shared" ref="Q32:Q37" si="28">H32/365</f>
        <v>0.50136986301369868</v>
      </c>
      <c r="R32" s="16">
        <f t="shared" ref="R32:R37" si="29">1/(1+$K$10)^(H32/365)</f>
        <v>0.78721200255295587</v>
      </c>
      <c r="S32" s="17">
        <f t="shared" ref="S32:S37" si="30">+M32</f>
        <v>23.557512842465755</v>
      </c>
      <c r="T32" s="81">
        <f t="shared" ref="T32:T37" si="31">+S32*R32</f>
        <v>18.544756859884444</v>
      </c>
      <c r="U32" s="17">
        <f t="shared" ref="U32:U37" si="32">+T32*Q32</f>
        <v>9.2977822064626121</v>
      </c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45012</v>
      </c>
      <c r="C33" s="32">
        <f t="shared" ref="C33:C38" si="33">+B33-B32</f>
        <v>90</v>
      </c>
      <c r="D33" s="30">
        <f t="shared" ref="D33:D38" si="34">+F33</f>
        <v>45012</v>
      </c>
      <c r="E33" s="39">
        <f t="shared" si="12"/>
        <v>45012</v>
      </c>
      <c r="F33" s="42">
        <f t="shared" si="13"/>
        <v>45012</v>
      </c>
      <c r="G33" s="43">
        <f t="shared" si="20"/>
        <v>90</v>
      </c>
      <c r="H33" s="43">
        <f t="shared" si="21"/>
        <v>273</v>
      </c>
      <c r="I33" s="41">
        <f t="shared" si="22"/>
        <v>0.50687499999999996</v>
      </c>
      <c r="J33" s="44">
        <f t="shared" si="23"/>
        <v>9.3737157534246567</v>
      </c>
      <c r="K33" s="45">
        <v>12.5</v>
      </c>
      <c r="L33" s="45">
        <f t="shared" si="24"/>
        <v>62.5</v>
      </c>
      <c r="M33" s="45">
        <f t="shared" si="25"/>
        <v>21.873715753424655</v>
      </c>
      <c r="N33" s="47">
        <f t="shared" si="26"/>
        <v>21873715.753424656</v>
      </c>
      <c r="O33" s="79">
        <f t="shared" si="27"/>
        <v>0.46687499999999998</v>
      </c>
      <c r="P33" s="1"/>
      <c r="Q33" s="16">
        <f t="shared" si="28"/>
        <v>0.74794520547945209</v>
      </c>
      <c r="R33" s="16">
        <f t="shared" si="29"/>
        <v>0.69982470218761916</v>
      </c>
      <c r="S33" s="17">
        <f t="shared" si="30"/>
        <v>21.873715753424655</v>
      </c>
      <c r="T33" s="81">
        <f t="shared" si="31"/>
        <v>15.307766612877042</v>
      </c>
      <c r="U33" s="17">
        <f t="shared" si="32"/>
        <v>11.449370644699815</v>
      </c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45104</v>
      </c>
      <c r="C34" s="32">
        <f t="shared" si="33"/>
        <v>92</v>
      </c>
      <c r="D34" s="30">
        <f t="shared" si="34"/>
        <v>45104</v>
      </c>
      <c r="E34" s="39">
        <f t="shared" si="12"/>
        <v>45104</v>
      </c>
      <c r="F34" s="42">
        <f t="shared" si="13"/>
        <v>45104</v>
      </c>
      <c r="G34" s="43">
        <f t="shared" si="20"/>
        <v>92</v>
      </c>
      <c r="H34" s="43">
        <f t="shared" si="21"/>
        <v>365</v>
      </c>
      <c r="I34" s="41">
        <f t="shared" si="22"/>
        <v>0.50687499999999996</v>
      </c>
      <c r="J34" s="44">
        <f t="shared" si="23"/>
        <v>7.9850171232876708</v>
      </c>
      <c r="K34" s="45">
        <v>12.5</v>
      </c>
      <c r="L34" s="45">
        <f t="shared" si="24"/>
        <v>50</v>
      </c>
      <c r="M34" s="45">
        <f t="shared" si="25"/>
        <v>20.485017123287669</v>
      </c>
      <c r="N34" s="47">
        <f t="shared" si="26"/>
        <v>20485017.123287667</v>
      </c>
      <c r="O34" s="79">
        <f t="shared" si="27"/>
        <v>0.46687499999999998</v>
      </c>
      <c r="P34" s="1"/>
      <c r="Q34" s="16">
        <f t="shared" si="28"/>
        <v>1</v>
      </c>
      <c r="R34" s="16">
        <f t="shared" si="29"/>
        <v>0.62051347800095003</v>
      </c>
      <c r="S34" s="17">
        <f t="shared" si="30"/>
        <v>20.485017123287669</v>
      </c>
      <c r="T34" s="81">
        <f t="shared" si="31"/>
        <v>12.711229222080247</v>
      </c>
      <c r="U34" s="17">
        <f t="shared" si="32"/>
        <v>12.711229222080247</v>
      </c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45196</v>
      </c>
      <c r="C35" s="32">
        <f t="shared" si="33"/>
        <v>92</v>
      </c>
      <c r="D35" s="30">
        <f t="shared" si="34"/>
        <v>45196</v>
      </c>
      <c r="E35" s="39">
        <f t="shared" si="12"/>
        <v>45196</v>
      </c>
      <c r="F35" s="42">
        <f t="shared" si="13"/>
        <v>45196</v>
      </c>
      <c r="G35" s="43">
        <f t="shared" si="20"/>
        <v>92</v>
      </c>
      <c r="H35" s="43">
        <f t="shared" si="21"/>
        <v>457</v>
      </c>
      <c r="I35" s="41">
        <f t="shared" si="22"/>
        <v>0.50687499999999996</v>
      </c>
      <c r="J35" s="44">
        <f t="shared" si="23"/>
        <v>6.3880136986301368</v>
      </c>
      <c r="K35" s="45">
        <v>12.5</v>
      </c>
      <c r="L35" s="45">
        <f t="shared" si="24"/>
        <v>37.5</v>
      </c>
      <c r="M35" s="45">
        <f t="shared" si="25"/>
        <v>18.888013698630136</v>
      </c>
      <c r="N35" s="47">
        <f t="shared" si="26"/>
        <v>18888013.698630136</v>
      </c>
      <c r="O35" s="79">
        <f t="shared" si="27"/>
        <v>0.46687499999999998</v>
      </c>
      <c r="P35" s="1"/>
      <c r="Q35" s="16">
        <f t="shared" si="28"/>
        <v>1.252054794520548</v>
      </c>
      <c r="R35" s="16">
        <f t="shared" si="29"/>
        <v>0.55019060512901019</v>
      </c>
      <c r="S35" s="17">
        <f t="shared" si="30"/>
        <v>18.888013698630136</v>
      </c>
      <c r="T35" s="81">
        <f t="shared" si="31"/>
        <v>10.392007686534349</v>
      </c>
      <c r="U35" s="17">
        <f t="shared" si="32"/>
        <v>13.011363048619719</v>
      </c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45287</v>
      </c>
      <c r="C36" s="32">
        <f t="shared" si="33"/>
        <v>91</v>
      </c>
      <c r="D36" s="30">
        <f t="shared" si="34"/>
        <v>45287</v>
      </c>
      <c r="E36" s="39">
        <f t="shared" si="12"/>
        <v>45287</v>
      </c>
      <c r="F36" s="42">
        <f t="shared" si="13"/>
        <v>45287</v>
      </c>
      <c r="G36" s="43">
        <f t="shared" si="20"/>
        <v>91</v>
      </c>
      <c r="H36" s="43">
        <f t="shared" si="21"/>
        <v>548</v>
      </c>
      <c r="I36" s="41">
        <f t="shared" si="22"/>
        <v>0.50687499999999996</v>
      </c>
      <c r="J36" s="44">
        <f t="shared" si="23"/>
        <v>4.738934075342466</v>
      </c>
      <c r="K36" s="45">
        <v>12.5</v>
      </c>
      <c r="L36" s="45">
        <f t="shared" si="24"/>
        <v>25</v>
      </c>
      <c r="M36" s="45">
        <f t="shared" si="25"/>
        <v>17.238934075342467</v>
      </c>
      <c r="N36" s="47">
        <f t="shared" si="26"/>
        <v>17238934.075342465</v>
      </c>
      <c r="O36" s="79">
        <f>+$O$31</f>
        <v>0.46687499999999998</v>
      </c>
      <c r="P36" s="1"/>
      <c r="Q36" s="16">
        <f t="shared" si="28"/>
        <v>1.5013698630136987</v>
      </c>
      <c r="R36" s="16">
        <f t="shared" si="29"/>
        <v>0.48847565762822742</v>
      </c>
      <c r="S36" s="17">
        <f t="shared" si="30"/>
        <v>17.238934075342467</v>
      </c>
      <c r="T36" s="81">
        <f t="shared" si="31"/>
        <v>8.4207996592625705</v>
      </c>
      <c r="U36" s="17">
        <f t="shared" si="32"/>
        <v>12.642734830892845</v>
      </c>
      <c r="W36" s="83"/>
      <c r="X36" s="84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45378</v>
      </c>
      <c r="C37" s="32">
        <f t="shared" si="33"/>
        <v>91</v>
      </c>
      <c r="D37" s="30">
        <f t="shared" si="34"/>
        <v>45378</v>
      </c>
      <c r="E37" s="39">
        <f t="shared" si="12"/>
        <v>45378</v>
      </c>
      <c r="F37" s="42">
        <f t="shared" si="13"/>
        <v>45378</v>
      </c>
      <c r="G37" s="43">
        <f t="shared" si="20"/>
        <v>91</v>
      </c>
      <c r="H37" s="43">
        <f t="shared" si="21"/>
        <v>639</v>
      </c>
      <c r="I37" s="41">
        <f t="shared" si="22"/>
        <v>0.50687499999999996</v>
      </c>
      <c r="J37" s="44">
        <f t="shared" si="23"/>
        <v>3.159289383561644</v>
      </c>
      <c r="K37" s="45">
        <v>12.5</v>
      </c>
      <c r="L37" s="45">
        <f t="shared" si="24"/>
        <v>12.5</v>
      </c>
      <c r="M37" s="45">
        <f t="shared" si="25"/>
        <v>15.659289383561644</v>
      </c>
      <c r="N37" s="47">
        <f t="shared" si="26"/>
        <v>15659289.383561645</v>
      </c>
      <c r="O37" s="79">
        <f>+$O$31</f>
        <v>0.46687499999999998</v>
      </c>
      <c r="P37" s="1"/>
      <c r="Q37" s="16">
        <f t="shared" si="28"/>
        <v>1.7506849315068493</v>
      </c>
      <c r="R37" s="16">
        <f t="shared" si="29"/>
        <v>0.43368328334028844</v>
      </c>
      <c r="S37" s="17">
        <f t="shared" si="30"/>
        <v>15.659289383561644</v>
      </c>
      <c r="T37" s="81">
        <f t="shared" si="31"/>
        <v>6.791172034638735</v>
      </c>
      <c r="U37" s="17">
        <f t="shared" si="32"/>
        <v>11.889202548312744</v>
      </c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45470</v>
      </c>
      <c r="C38" s="32">
        <f t="shared" si="33"/>
        <v>92</v>
      </c>
      <c r="D38" s="30">
        <f t="shared" si="34"/>
        <v>45470</v>
      </c>
      <c r="E38" s="39">
        <f t="shared" si="12"/>
        <v>45470</v>
      </c>
      <c r="F38" s="54">
        <f t="shared" si="13"/>
        <v>45470</v>
      </c>
      <c r="G38" s="48">
        <f t="shared" si="14"/>
        <v>92</v>
      </c>
      <c r="H38" s="48">
        <f t="shared" si="15"/>
        <v>731</v>
      </c>
      <c r="I38" s="49">
        <f t="shared" ref="I38" si="35">+$O$14+O38</f>
        <v>0.50687499999999996</v>
      </c>
      <c r="J38" s="55">
        <f t="shared" si="16"/>
        <v>1.5970034246575342</v>
      </c>
      <c r="K38" s="56">
        <v>12.5</v>
      </c>
      <c r="L38" s="56">
        <f t="shared" si="17"/>
        <v>0</v>
      </c>
      <c r="M38" s="56">
        <f t="shared" si="18"/>
        <v>14.097003424657535</v>
      </c>
      <c r="N38" s="57">
        <f t="shared" si="19"/>
        <v>14097003.424657535</v>
      </c>
      <c r="O38" s="80">
        <f>+$O$31</f>
        <v>0.46687499999999998</v>
      </c>
      <c r="P38" s="1"/>
      <c r="Q38" s="16">
        <f t="shared" si="5"/>
        <v>2.0027397260273974</v>
      </c>
      <c r="R38" s="16">
        <f t="shared" si="6"/>
        <v>0.38453390063988901</v>
      </c>
      <c r="S38" s="17">
        <f t="shared" si="7"/>
        <v>14.097003424657535</v>
      </c>
      <c r="T38" s="81">
        <f t="shared" si="8"/>
        <v>5.4207757142174353</v>
      </c>
      <c r="U38" s="17">
        <f t="shared" si="9"/>
        <v>10.856402868747796</v>
      </c>
      <c r="W38" s="85"/>
      <c r="X38" s="83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5"/>
        <v>0</v>
      </c>
      <c r="R39" s="1">
        <f t="shared" si="6"/>
        <v>1</v>
      </c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57075513.698630139</v>
      </c>
      <c r="Q40" s="19"/>
      <c r="R40" s="19"/>
      <c r="S40" s="17"/>
      <c r="T40" s="17">
        <f>SUM(T31:T38)</f>
        <v>99.999999726394833</v>
      </c>
      <c r="U40" s="17">
        <f>SUM(U31:U38)</f>
        <v>87.507009364870015</v>
      </c>
      <c r="W40" s="86"/>
      <c r="X40" s="87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W41" s="25"/>
      <c r="X41" s="87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/>
      <c r="U42" s="1"/>
      <c r="W42" s="25"/>
      <c r="X42" s="86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24</v>
      </c>
      <c r="I51" s="58"/>
      <c r="J51" s="58" t="s">
        <v>25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6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7:L28"/>
    <mergeCell ref="M27:M28"/>
    <mergeCell ref="N27:N28"/>
    <mergeCell ref="O27:O28"/>
    <mergeCell ref="F27:F28"/>
    <mergeCell ref="G27:G28"/>
    <mergeCell ref="H27:H28"/>
    <mergeCell ref="I27:I28"/>
    <mergeCell ref="J27:J28"/>
    <mergeCell ref="K27:K28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CLASE 1</vt:lpstr>
      <vt:lpstr>Feriados</vt:lpstr>
      <vt:lpstr>Hoja2</vt:lpstr>
      <vt:lpstr>'CLASE 1'!Área_de_impresión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2022-06-22T17:26:19Z</dcterms:modified>
</cp:coreProperties>
</file>