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PATAGONIAN FRUITS\Difusion\"/>
    </mc:Choice>
  </mc:AlternateContent>
  <bookViews>
    <workbookView xWindow="240" yWindow="225" windowWidth="11280" windowHeight="7920"/>
  </bookViews>
  <sheets>
    <sheet name="Clase A" sheetId="8" r:id="rId1"/>
    <sheet name="Clase B" sheetId="9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A'!$E$1:$Q$50</definedName>
    <definedName name="_xlnm.Print_Area" localSheetId="1">'Clase B'!$E$1:$Q$50</definedName>
  </definedNames>
  <calcPr calcId="162913"/>
</workbook>
</file>

<file path=xl/calcChain.xml><?xml version="1.0" encoding="utf-8"?>
<calcChain xmlns="http://schemas.openxmlformats.org/spreadsheetml/2006/main">
  <c r="L39" i="9" l="1"/>
  <c r="K23" i="9"/>
  <c r="K24" i="9"/>
  <c r="H11" i="9"/>
  <c r="D36" i="9"/>
  <c r="D37" i="9"/>
  <c r="C29" i="9"/>
  <c r="B36" i="9" s="1"/>
  <c r="B37" i="9" l="1"/>
  <c r="L39" i="8"/>
  <c r="O29" i="8" l="1"/>
  <c r="C29" i="8"/>
  <c r="C30" i="8" l="1"/>
  <c r="C31" i="8" s="1"/>
  <c r="C32" i="8" s="1"/>
  <c r="C33" i="8" s="1"/>
  <c r="C34" i="8" s="1"/>
  <c r="C35" i="8" s="1"/>
  <c r="C36" i="8" s="1"/>
  <c r="C37" i="8" s="1"/>
  <c r="F29" i="8"/>
  <c r="P31" i="9"/>
  <c r="J31" i="9" s="1"/>
  <c r="J30" i="9"/>
  <c r="M30" i="9"/>
  <c r="M31" i="9" s="1"/>
  <c r="M32" i="9" s="1"/>
  <c r="M33" i="9" s="1"/>
  <c r="M34" i="9" s="1"/>
  <c r="M35" i="9" s="1"/>
  <c r="M36" i="9" s="1"/>
  <c r="M37" i="9" s="1"/>
  <c r="O29" i="9"/>
  <c r="N29" i="9"/>
  <c r="F29" i="9"/>
  <c r="G29" i="9" s="1"/>
  <c r="K22" i="9"/>
  <c r="K21" i="9"/>
  <c r="K20" i="9"/>
  <c r="K19" i="9"/>
  <c r="K18" i="9"/>
  <c r="K17" i="9"/>
  <c r="H14" i="9"/>
  <c r="E29" i="9" s="1"/>
  <c r="K25" i="9" l="1"/>
  <c r="P32" i="9"/>
  <c r="J32" i="9" s="1"/>
  <c r="P33" i="9"/>
  <c r="P34" i="9" s="1"/>
  <c r="J34" i="9" s="1"/>
  <c r="P35" i="9" l="1"/>
  <c r="J35" i="9"/>
  <c r="P36" i="9"/>
  <c r="J33" i="9"/>
  <c r="B30" i="9"/>
  <c r="D30" i="9"/>
  <c r="F30" i="9" s="1"/>
  <c r="P37" i="9" l="1"/>
  <c r="J37" i="9" s="1"/>
  <c r="J36" i="9"/>
  <c r="D31" i="9"/>
  <c r="F31" i="9" s="1"/>
  <c r="B31" i="9"/>
  <c r="H30" i="9"/>
  <c r="K30" i="9" s="1"/>
  <c r="L17" i="9" s="1"/>
  <c r="G30" i="9"/>
  <c r="G31" i="9" l="1"/>
  <c r="H31" i="9"/>
  <c r="K31" i="9" s="1"/>
  <c r="L18" i="9" s="1"/>
  <c r="M18" i="9" s="1"/>
  <c r="N30" i="9"/>
  <c r="I30" i="9"/>
  <c r="R30" i="9" s="1"/>
  <c r="E30" i="9"/>
  <c r="J17" i="9"/>
  <c r="D32" i="9"/>
  <c r="F32" i="9" s="1"/>
  <c r="B32" i="9"/>
  <c r="M17" i="9"/>
  <c r="D33" i="9" l="1"/>
  <c r="B33" i="9"/>
  <c r="T30" i="9"/>
  <c r="O30" i="9"/>
  <c r="F33" i="9"/>
  <c r="H32" i="9"/>
  <c r="K32" i="9" s="1"/>
  <c r="L19" i="9" s="1"/>
  <c r="G32" i="9"/>
  <c r="J18" i="9"/>
  <c r="E31" i="9"/>
  <c r="N31" i="9"/>
  <c r="I31" i="9"/>
  <c r="R31" i="9" s="1"/>
  <c r="O31" i="9" l="1"/>
  <c r="T31" i="9"/>
  <c r="N32" i="9"/>
  <c r="I32" i="9"/>
  <c r="R32" i="9" s="1"/>
  <c r="E32" i="9"/>
  <c r="J19" i="9"/>
  <c r="M19" i="9"/>
  <c r="G33" i="9"/>
  <c r="H33" i="9"/>
  <c r="K33" i="9" s="1"/>
  <c r="L20" i="9" s="1"/>
  <c r="M20" i="9" s="1"/>
  <c r="D34" i="9"/>
  <c r="F34" i="9" s="1"/>
  <c r="B34" i="9"/>
  <c r="H34" i="9" l="1"/>
  <c r="K34" i="9" s="1"/>
  <c r="L21" i="9" s="1"/>
  <c r="M21" i="9" s="1"/>
  <c r="G34" i="9"/>
  <c r="T32" i="9"/>
  <c r="O32" i="9"/>
  <c r="D35" i="9"/>
  <c r="F35" i="9" s="1"/>
  <c r="F36" i="9" s="1"/>
  <c r="B35" i="9"/>
  <c r="J20" i="9"/>
  <c r="N33" i="9"/>
  <c r="E33" i="9"/>
  <c r="I33" i="9"/>
  <c r="R33" i="9" s="1"/>
  <c r="G36" i="9" l="1"/>
  <c r="F37" i="9"/>
  <c r="H36" i="9"/>
  <c r="K36" i="9" s="1"/>
  <c r="L23" i="9" s="1"/>
  <c r="M23" i="9" s="1"/>
  <c r="G35" i="9"/>
  <c r="H35" i="9"/>
  <c r="K35" i="9" s="1"/>
  <c r="L22" i="9" s="1"/>
  <c r="N34" i="9"/>
  <c r="I34" i="9"/>
  <c r="R34" i="9" s="1"/>
  <c r="E34" i="9"/>
  <c r="J21" i="9"/>
  <c r="O33" i="9"/>
  <c r="T33" i="9"/>
  <c r="G37" i="9" l="1"/>
  <c r="H37" i="9"/>
  <c r="K37" i="9" s="1"/>
  <c r="L24" i="9" s="1"/>
  <c r="M24" i="9" s="1"/>
  <c r="I36" i="9"/>
  <c r="R36" i="9" s="1"/>
  <c r="E36" i="9"/>
  <c r="J23" i="9"/>
  <c r="N36" i="9"/>
  <c r="M22" i="9"/>
  <c r="T34" i="9"/>
  <c r="O34" i="9"/>
  <c r="J22" i="9"/>
  <c r="I35" i="9"/>
  <c r="R35" i="9" s="1"/>
  <c r="N35" i="9"/>
  <c r="E35" i="9"/>
  <c r="L25" i="9" l="1"/>
  <c r="O36" i="9"/>
  <c r="T36" i="9"/>
  <c r="J24" i="9"/>
  <c r="I37" i="9"/>
  <c r="R37" i="9" s="1"/>
  <c r="E37" i="9"/>
  <c r="N37" i="9"/>
  <c r="O35" i="9"/>
  <c r="T35" i="9"/>
  <c r="O37" i="9" l="1"/>
  <c r="L10" i="9" s="1"/>
  <c r="S36" i="9" s="1"/>
  <c r="U36" i="9" s="1"/>
  <c r="V36" i="9" s="1"/>
  <c r="T37" i="9"/>
  <c r="M25" i="9"/>
  <c r="O39" i="9" l="1"/>
  <c r="S37" i="9"/>
  <c r="U37" i="9" s="1"/>
  <c r="V37" i="9" s="1"/>
  <c r="S34" i="9"/>
  <c r="U34" i="9" s="1"/>
  <c r="V34" i="9" s="1"/>
  <c r="S32" i="9"/>
  <c r="U32" i="9" s="1"/>
  <c r="V32" i="9" s="1"/>
  <c r="S30" i="9"/>
  <c r="U30" i="9" s="1"/>
  <c r="S35" i="9"/>
  <c r="U35" i="9" s="1"/>
  <c r="V35" i="9" s="1"/>
  <c r="S33" i="9"/>
  <c r="U33" i="9" s="1"/>
  <c r="V33" i="9" s="1"/>
  <c r="L11" i="9"/>
  <c r="S31" i="9"/>
  <c r="U31" i="9" s="1"/>
  <c r="V31" i="9" s="1"/>
  <c r="S28" i="9"/>
  <c r="U40" i="9" l="1"/>
  <c r="V30" i="9"/>
  <c r="V40" i="9" s="1"/>
  <c r="L12" i="9" l="1"/>
  <c r="D30" i="8" l="1"/>
  <c r="F30" i="8" s="1"/>
  <c r="H30" i="8" s="1"/>
  <c r="N29" i="8"/>
  <c r="G30" i="8" l="1"/>
  <c r="E30" i="8" s="1"/>
  <c r="J37" i="8"/>
  <c r="J36" i="8"/>
  <c r="J35" i="8"/>
  <c r="J34" i="8"/>
  <c r="J33" i="8"/>
  <c r="J32" i="8"/>
  <c r="J31" i="8"/>
  <c r="M30" i="8"/>
  <c r="M31" i="8" s="1"/>
  <c r="M32" i="8" s="1"/>
  <c r="M33" i="8" s="1"/>
  <c r="M34" i="8" s="1"/>
  <c r="M35" i="8" s="1"/>
  <c r="M36" i="8" s="1"/>
  <c r="M37" i="8" s="1"/>
  <c r="J30" i="8"/>
  <c r="G29" i="8"/>
  <c r="K24" i="8"/>
  <c r="K23" i="8"/>
  <c r="K22" i="8"/>
  <c r="K21" i="8"/>
  <c r="K20" i="8"/>
  <c r="K19" i="8"/>
  <c r="K18" i="8"/>
  <c r="K17" i="8"/>
  <c r="H14" i="8"/>
  <c r="E29" i="8" s="1"/>
  <c r="K25" i="8" l="1"/>
  <c r="D2" i="7" l="1"/>
  <c r="F2" i="4" l="1"/>
  <c r="I30" i="8"/>
  <c r="R30" i="8" s="1"/>
  <c r="J17" i="8"/>
  <c r="K30" i="8"/>
  <c r="N30" i="8" s="1"/>
  <c r="T30" i="8" s="1"/>
  <c r="B30" i="8"/>
  <c r="L17" i="8" l="1"/>
  <c r="D32" i="8"/>
  <c r="B32" i="8"/>
  <c r="O30" i="8"/>
  <c r="D31" i="8"/>
  <c r="F31" i="8" s="1"/>
  <c r="H31" i="8" s="1"/>
  <c r="B31" i="8"/>
  <c r="M17" i="8" l="1"/>
  <c r="F32" i="8"/>
  <c r="D33" i="8"/>
  <c r="B33" i="8"/>
  <c r="G31" i="8"/>
  <c r="K31" i="8"/>
  <c r="L18" i="8" s="1"/>
  <c r="F33" i="8" l="1"/>
  <c r="B34" i="8"/>
  <c r="D34" i="8"/>
  <c r="J18" i="8"/>
  <c r="I31" i="8"/>
  <c r="R31" i="8" s="1"/>
  <c r="N31" i="8"/>
  <c r="E31" i="8"/>
  <c r="M18" i="8"/>
  <c r="G32" i="8"/>
  <c r="H32" i="8"/>
  <c r="K32" i="8" s="1"/>
  <c r="L19" i="8" s="1"/>
  <c r="M19" i="8" s="1"/>
  <c r="F34" i="8" l="1"/>
  <c r="H33" i="8"/>
  <c r="K33" i="8" s="1"/>
  <c r="L20" i="8" s="1"/>
  <c r="G33" i="8"/>
  <c r="J19" i="8"/>
  <c r="N32" i="8"/>
  <c r="I32" i="8"/>
  <c r="R32" i="8" s="1"/>
  <c r="E32" i="8"/>
  <c r="O31" i="8"/>
  <c r="T31" i="8"/>
  <c r="D35" i="8"/>
  <c r="B35" i="8"/>
  <c r="F35" i="8" l="1"/>
  <c r="B36" i="8"/>
  <c r="D36" i="8"/>
  <c r="N33" i="8"/>
  <c r="E33" i="8"/>
  <c r="I33" i="8"/>
  <c r="R33" i="8" s="1"/>
  <c r="J20" i="8"/>
  <c r="H34" i="8"/>
  <c r="K34" i="8" s="1"/>
  <c r="L21" i="8" s="1"/>
  <c r="M21" i="8" s="1"/>
  <c r="G34" i="8"/>
  <c r="O32" i="8"/>
  <c r="T32" i="8"/>
  <c r="M20" i="8"/>
  <c r="T33" i="8" l="1"/>
  <c r="O33" i="8"/>
  <c r="N34" i="8"/>
  <c r="I34" i="8"/>
  <c r="R34" i="8" s="1"/>
  <c r="J21" i="8"/>
  <c r="E34" i="8"/>
  <c r="F36" i="8"/>
  <c r="G35" i="8"/>
  <c r="H35" i="8"/>
  <c r="K35" i="8" s="1"/>
  <c r="L22" i="8" s="1"/>
  <c r="D37" i="8"/>
  <c r="B37" i="8"/>
  <c r="J22" i="8" l="1"/>
  <c r="E35" i="8"/>
  <c r="I35" i="8"/>
  <c r="R35" i="8" s="1"/>
  <c r="N35" i="8"/>
  <c r="M22" i="8"/>
  <c r="H36" i="8"/>
  <c r="K36" i="8" s="1"/>
  <c r="L23" i="8" s="1"/>
  <c r="M23" i="8" s="1"/>
  <c r="G36" i="8"/>
  <c r="F37" i="8"/>
  <c r="H11" i="8" s="1"/>
  <c r="O34" i="8"/>
  <c r="T34" i="8"/>
  <c r="T35" i="8" l="1"/>
  <c r="O35" i="8"/>
  <c r="G37" i="8"/>
  <c r="H37" i="8"/>
  <c r="K37" i="8" s="1"/>
  <c r="L24" i="8" s="1"/>
  <c r="M24" i="8" s="1"/>
  <c r="E36" i="8"/>
  <c r="I36" i="8"/>
  <c r="R36" i="8" s="1"/>
  <c r="J23" i="8"/>
  <c r="N36" i="8"/>
  <c r="E37" i="8" l="1"/>
  <c r="I37" i="8"/>
  <c r="R37" i="8" s="1"/>
  <c r="N37" i="8"/>
  <c r="J24" i="8"/>
  <c r="O36" i="8"/>
  <c r="T36" i="8"/>
  <c r="O37" i="8" l="1"/>
  <c r="T37" i="8"/>
  <c r="L25" i="8" l="1"/>
  <c r="M25" i="8" s="1"/>
  <c r="L10" i="8" l="1"/>
  <c r="O39" i="8"/>
  <c r="S32" i="8" l="1"/>
  <c r="U32" i="8" s="1"/>
  <c r="V32" i="8" s="1"/>
  <c r="S36" i="8"/>
  <c r="U36" i="8" s="1"/>
  <c r="V36" i="8" s="1"/>
  <c r="S37" i="8"/>
  <c r="U37" i="8" s="1"/>
  <c r="V37" i="8" s="1"/>
  <c r="S30" i="8"/>
  <c r="U30" i="8" s="1"/>
  <c r="V30" i="8" s="1"/>
  <c r="S28" i="8"/>
  <c r="S31" i="8"/>
  <c r="U31" i="8" s="1"/>
  <c r="V31" i="8" s="1"/>
  <c r="S35" i="8"/>
  <c r="U35" i="8" s="1"/>
  <c r="V35" i="8" s="1"/>
  <c r="S33" i="8"/>
  <c r="U33" i="8" s="1"/>
  <c r="V33" i="8" s="1"/>
  <c r="S34" i="8"/>
  <c r="U34" i="8" s="1"/>
  <c r="V34" i="8" s="1"/>
  <c r="L11" i="8"/>
  <c r="V40" i="8" l="1"/>
  <c r="U40" i="8"/>
  <c r="L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  <comment ref="P30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<sst xmlns="http://schemas.openxmlformats.org/spreadsheetml/2006/main" count="84" uniqueCount="45">
  <si>
    <t>Fecha de Emisión:</t>
  </si>
  <si>
    <t>TIR:</t>
  </si>
  <si>
    <t>Precio clean:</t>
  </si>
  <si>
    <t>Fecha de Vto: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</si>
  <si>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</si>
  <si>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</si>
  <si>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</si>
  <si>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</si>
  <si>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</si>
  <si>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</si>
  <si>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</si>
  <si>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</si>
  <si>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</si>
  <si>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</si>
  <si>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</si>
  <si>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</si>
  <si>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</si>
  <si>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</si>
  <si>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</si>
  <si>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</si>
  <si>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</si>
  <si>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</si>
  <si>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</si>
  <si>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</si>
  <si>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</si>
  <si>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</si>
  <si>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</si>
  <si>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</si>
  <si>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</si>
  <si>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</si>
  <si>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</si>
  <si>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</si>
  <si>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Intereses:</t>
  </si>
  <si>
    <t>Trimestral vencido</t>
  </si>
  <si>
    <t>Cupón:</t>
  </si>
  <si>
    <t>Cupón a licitar:</t>
  </si>
  <si>
    <t>TC Inicial:</t>
  </si>
  <si>
    <t>Badlar Proyectada</t>
  </si>
  <si>
    <t>Badlar + Margen</t>
  </si>
  <si>
    <t>Duration (meses):</t>
  </si>
  <si>
    <t>Calificación (Moody´s):</t>
  </si>
  <si>
    <t>Margen a licitar:</t>
  </si>
  <si>
    <t>ON PyME CNV Garantizada Patagonian Fruits Trade Serie II  - Clase B (Badlar + Margen)</t>
  </si>
  <si>
    <t>ON PyME CNV Garantizada Patagonian Fruits Trade Serie II  - Clase A (Dólar Linked)</t>
  </si>
  <si>
    <t>s/c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</si>
</sst>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  <numFmt numFmtId="172" formatCode="#,##0.00000_ ;[Red]\-#,##0.00000\ 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sz val="11"/>
      <color rgb="FF33333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8" fillId="6" borderId="10" xfId="0" applyNumberFormat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vertical="center" wrapText="1"/>
    </xf>
    <xf numFmtId="14" fontId="8" fillId="5" borderId="10" xfId="0" applyNumberFormat="1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center"/>
    </xf>
    <xf numFmtId="165" fontId="3" fillId="4" borderId="11" xfId="2" applyNumberFormat="1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4" fontId="2" fillId="4" borderId="12" xfId="2" applyNumberFormat="1" applyFont="1" applyFill="1" applyBorder="1" applyAlignment="1" applyProtection="1">
      <alignment horizontal="center"/>
    </xf>
    <xf numFmtId="4" fontId="2" fillId="4" borderId="12" xfId="0" applyNumberFormat="1" applyFont="1" applyFill="1" applyBorder="1" applyAlignment="1" applyProtection="1">
      <alignment horizontal="center"/>
    </xf>
    <xf numFmtId="15" fontId="3" fillId="4" borderId="10" xfId="0" applyNumberFormat="1" applyFont="1" applyFill="1" applyBorder="1" applyAlignment="1" applyProtection="1">
      <alignment horizontal="center"/>
    </xf>
    <xf numFmtId="4" fontId="3" fillId="4" borderId="11" xfId="2" applyNumberFormat="1" applyFont="1" applyFill="1" applyBorder="1" applyAlignment="1" applyProtection="1">
      <alignment horizontal="center"/>
    </xf>
    <xf numFmtId="4" fontId="3" fillId="4" borderId="11" xfId="0" applyNumberFormat="1" applyFont="1" applyFill="1" applyBorder="1" applyAlignment="1" applyProtection="1">
      <alignment horizontal="center"/>
    </xf>
    <xf numFmtId="166" fontId="3" fillId="7" borderId="4" xfId="3" applyNumberFormat="1" applyFont="1" applyFill="1" applyBorder="1" applyAlignment="1" applyProtection="1">
      <alignment horizontal="center"/>
    </xf>
    <xf numFmtId="166" fontId="3" fillId="7" borderId="7" xfId="3" applyNumberFormat="1" applyFont="1" applyFill="1" applyBorder="1" applyAlignment="1" applyProtection="1">
      <alignment horizontal="center"/>
    </xf>
    <xf numFmtId="40" fontId="3" fillId="4" borderId="0" xfId="0" applyNumberFormat="1" applyFont="1" applyFill="1" applyBorder="1" applyAlignment="1" applyProtection="1">
      <alignment horizontal="center" vertical="center"/>
    </xf>
    <xf numFmtId="38" fontId="2" fillId="4" borderId="0" xfId="0" applyNumberFormat="1" applyFont="1" applyFill="1" applyBorder="1" applyAlignment="1" applyProtection="1">
      <alignment horizontal="center" vertic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center"/>
    </xf>
    <xf numFmtId="3" fontId="2" fillId="4" borderId="0" xfId="2" applyNumberFormat="1" applyFont="1" applyFill="1" applyBorder="1" applyAlignment="1" applyProtection="1">
      <alignment horizontal="center"/>
    </xf>
    <xf numFmtId="4" fontId="3" fillId="4" borderId="0" xfId="2" applyNumberFormat="1" applyFont="1" applyFill="1" applyBorder="1" applyAlignment="1" applyProtection="1">
      <alignment horizontal="center"/>
    </xf>
    <xf numFmtId="14" fontId="2" fillId="0" borderId="0" xfId="0" applyNumberFormat="1" applyFont="1" applyAlignment="1" applyProtection="1">
      <alignment horizontal="center" vertical="center"/>
    </xf>
    <xf numFmtId="15" fontId="2" fillId="4" borderId="0" xfId="0" applyNumberFormat="1" applyFont="1" applyFill="1" applyBorder="1" applyAlignment="1" applyProtection="1">
      <alignment horizontal="center"/>
    </xf>
    <xf numFmtId="40" fontId="3" fillId="0" borderId="0" xfId="0" applyNumberFormat="1" applyFont="1" applyBorder="1" applyAlignment="1" applyProtection="1">
      <alignment horizontal="center"/>
    </xf>
    <xf numFmtId="38" fontId="3" fillId="0" borderId="0" xfId="0" applyNumberFormat="1" applyFont="1" applyBorder="1" applyAlignment="1" applyProtection="1">
      <alignment horizontal="center"/>
    </xf>
    <xf numFmtId="40" fontId="3" fillId="0" borderId="10" xfId="0" applyNumberFormat="1" applyFont="1" applyBorder="1" applyAlignment="1" applyProtection="1">
      <alignment horizontal="center"/>
    </xf>
    <xf numFmtId="15" fontId="2" fillId="4" borderId="1" xfId="0" applyNumberFormat="1" applyFont="1" applyFill="1" applyBorder="1" applyAlignment="1" applyProtection="1">
      <alignment horizontal="center"/>
    </xf>
    <xf numFmtId="38" fontId="2" fillId="4" borderId="2" xfId="0" applyNumberFormat="1" applyFont="1" applyFill="1" applyBorder="1" applyAlignment="1" applyProtection="1">
      <alignment horizontal="center" vertical="center"/>
    </xf>
    <xf numFmtId="10" fontId="2" fillId="4" borderId="2" xfId="3" applyNumberFormat="1" applyFont="1" applyFill="1" applyBorder="1" applyAlignment="1" applyProtection="1">
      <alignment horizontal="center"/>
    </xf>
    <xf numFmtId="40" fontId="3" fillId="4" borderId="2" xfId="0" applyNumberFormat="1" applyFont="1" applyFill="1" applyBorder="1" applyAlignment="1" applyProtection="1">
      <alignment horizontal="center" vertical="center"/>
    </xf>
    <xf numFmtId="40" fontId="2" fillId="4" borderId="2" xfId="0" applyNumberFormat="1" applyFont="1" applyFill="1" applyBorder="1" applyAlignment="1" applyProtection="1">
      <alignment horizontal="center" vertical="center"/>
    </xf>
    <xf numFmtId="38" fontId="2" fillId="4" borderId="15" xfId="0" applyNumberFormat="1" applyFont="1" applyFill="1" applyBorder="1" applyAlignment="1" applyProtection="1">
      <alignment horizontal="center" vertical="center"/>
    </xf>
    <xf numFmtId="38" fontId="3" fillId="0" borderId="10" xfId="0" applyNumberFormat="1" applyFont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 wrapText="1"/>
    </xf>
    <xf numFmtId="165" fontId="3" fillId="4" borderId="5" xfId="2" applyNumberFormat="1" applyFont="1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9" fillId="4" borderId="13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/>
    <xf numFmtId="0" fontId="10" fillId="4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171" fontId="3" fillId="4" borderId="0" xfId="0" applyNumberFormat="1" applyFont="1" applyFill="1" applyBorder="1" applyAlignment="1" applyProtection="1">
      <alignment horizontal="center"/>
    </xf>
    <xf numFmtId="171" fontId="3" fillId="4" borderId="12" xfId="0" applyNumberFormat="1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 wrapText="1"/>
    </xf>
    <xf numFmtId="165" fontId="3" fillId="4" borderId="3" xfId="2" applyNumberFormat="1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Protection="1"/>
    <xf numFmtId="14" fontId="2" fillId="0" borderId="0" xfId="0" applyNumberFormat="1" applyFont="1" applyFill="1" applyAlignment="1" applyProtection="1">
      <alignment horizontal="center" vertical="center"/>
    </xf>
    <xf numFmtId="171" fontId="2" fillId="0" borderId="0" xfId="0" applyNumberFormat="1" applyFont="1" applyFill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40</xdr:row>
      <xdr:rowOff>38100</xdr:rowOff>
    </xdr:from>
    <xdr:to>
      <xdr:col>15</xdr:col>
      <xdr:colOff>28576</xdr:colOff>
      <xdr:row>45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1724025</xdr:colOff>
      <xdr:row>2</xdr:row>
      <xdr:rowOff>47626</xdr:rowOff>
    </xdr:from>
    <xdr:to>
      <xdr:col>7</xdr:col>
      <xdr:colOff>105216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145677</xdr:colOff>
      <xdr:row>1</xdr:row>
      <xdr:rowOff>78442</xdr:rowOff>
    </xdr:from>
    <xdr:to>
      <xdr:col>23</xdr:col>
      <xdr:colOff>737304</xdr:colOff>
      <xdr:row>6</xdr:row>
      <xdr:rowOff>69449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0353" y="224118"/>
          <a:ext cx="3639627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40</xdr:row>
      <xdr:rowOff>38100</xdr:rowOff>
    </xdr:from>
    <xdr:to>
      <xdr:col>15</xdr:col>
      <xdr:colOff>28576</xdr:colOff>
      <xdr:row>45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6343652" y="77438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1724025</xdr:colOff>
      <xdr:row>2</xdr:row>
      <xdr:rowOff>47626</xdr:rowOff>
    </xdr:from>
    <xdr:to>
      <xdr:col>7</xdr:col>
      <xdr:colOff>106576</xdr:colOff>
      <xdr:row>5</xdr:row>
      <xdr:rowOff>65580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6315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161926</xdr:colOff>
      <xdr:row>1</xdr:row>
      <xdr:rowOff>114301</xdr:rowOff>
    </xdr:from>
    <xdr:to>
      <xdr:col>23</xdr:col>
      <xdr:colOff>200026</xdr:colOff>
      <xdr:row>6</xdr:row>
      <xdr:rowOff>115508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6" y="257176"/>
          <a:ext cx="3638550" cy="715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7"/>
  <sheetViews>
    <sheetView showGridLines="0" tabSelected="1" topLeftCell="A7" zoomScale="85" zoomScaleNormal="85" zoomScaleSheetLayoutView="130" workbookViewId="0">
      <selection activeCell="P15" sqref="P15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9.28515625" style="1" bestFit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hidden="1" customWidth="1"/>
    <col min="24" max="24" width="11.42578125" style="1" customWidth="1"/>
    <col min="25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125" t="s">
        <v>43</v>
      </c>
      <c r="H8" s="126"/>
      <c r="I8" s="126"/>
      <c r="J8" s="126"/>
      <c r="K8" s="126"/>
      <c r="L8" s="126"/>
      <c r="M8" s="126"/>
      <c r="N8" s="126"/>
      <c r="O8" s="126"/>
      <c r="P8" s="127"/>
      <c r="Q8" s="128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60" t="s">
        <v>0</v>
      </c>
      <c r="H10" s="129">
        <v>44804</v>
      </c>
      <c r="I10" s="130"/>
      <c r="J10" s="131" t="s">
        <v>1</v>
      </c>
      <c r="K10" s="132"/>
      <c r="L10" s="133">
        <f>XIRR(O29:O37,E29:E37)</f>
        <v>1.0037568211555482E-2</v>
      </c>
      <c r="M10" s="134"/>
      <c r="N10" s="131" t="s">
        <v>32</v>
      </c>
      <c r="O10" s="132"/>
      <c r="P10" s="133" t="s">
        <v>33</v>
      </c>
      <c r="Q10" s="134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61" t="s">
        <v>3</v>
      </c>
      <c r="H11" s="135">
        <f>+F37</f>
        <v>45534</v>
      </c>
      <c r="I11" s="136"/>
      <c r="J11" s="109" t="s">
        <v>21</v>
      </c>
      <c r="K11" s="110"/>
      <c r="L11" s="123">
        <f>+NOMINAL(L10,4)</f>
        <v>1.0000005630161013E-2</v>
      </c>
      <c r="M11" s="124"/>
      <c r="N11" s="109" t="s">
        <v>36</v>
      </c>
      <c r="O11" s="110"/>
      <c r="P11" s="137">
        <v>137.39670000000001</v>
      </c>
      <c r="Q11" s="138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61" t="s">
        <v>34</v>
      </c>
      <c r="H12" s="123" t="s">
        <v>28</v>
      </c>
      <c r="I12" s="124"/>
      <c r="J12" s="109" t="s">
        <v>39</v>
      </c>
      <c r="K12" s="110"/>
      <c r="L12" s="111">
        <f>+(V40/U40)*12</f>
        <v>17.932077705604829</v>
      </c>
      <c r="M12" s="112"/>
      <c r="N12" s="109" t="s">
        <v>2</v>
      </c>
      <c r="O12" s="110"/>
      <c r="P12" s="123">
        <v>1</v>
      </c>
      <c r="Q12" s="124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61"/>
      <c r="H13" s="107"/>
      <c r="I13" s="108"/>
      <c r="J13" s="109" t="s">
        <v>40</v>
      </c>
      <c r="K13" s="110"/>
      <c r="L13" s="111" t="s">
        <v>44</v>
      </c>
      <c r="M13" s="112"/>
      <c r="N13" s="109" t="s">
        <v>5</v>
      </c>
      <c r="O13" s="110"/>
      <c r="P13" s="99">
        <v>2500000</v>
      </c>
      <c r="Q13" s="100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62" t="s">
        <v>4</v>
      </c>
      <c r="H14" s="113">
        <f>+H10</f>
        <v>44804</v>
      </c>
      <c r="I14" s="114"/>
      <c r="J14" s="115" t="s">
        <v>31</v>
      </c>
      <c r="K14" s="116"/>
      <c r="L14" s="117">
        <v>24</v>
      </c>
      <c r="M14" s="118"/>
      <c r="N14" s="115" t="s">
        <v>35</v>
      </c>
      <c r="O14" s="116"/>
      <c r="P14" s="97">
        <v>0.01</v>
      </c>
      <c r="Q14" s="98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82"/>
      <c r="J16" s="63" t="s">
        <v>12</v>
      </c>
      <c r="K16" s="64" t="s">
        <v>19</v>
      </c>
      <c r="L16" s="64" t="s">
        <v>13</v>
      </c>
      <c r="M16" s="65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2:143" ht="12.75" customHeight="1" x14ac:dyDescent="0.2">
      <c r="I17" s="83"/>
      <c r="J17" s="66">
        <f t="shared" ref="J17:J24" si="0">+G30</f>
        <v>44895</v>
      </c>
      <c r="K17" s="67">
        <f t="shared" ref="K17:K24" si="1">+$P$13*L30/100</f>
        <v>0</v>
      </c>
      <c r="L17" s="67">
        <f t="shared" ref="L17:L24" si="2">+$P$13*K30/100</f>
        <v>6232.8767123287671</v>
      </c>
      <c r="M17" s="68">
        <f>SUM(K17:L17)</f>
        <v>6232.8767123287671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2:143" ht="12.75" customHeight="1" x14ac:dyDescent="0.2">
      <c r="I18" s="83"/>
      <c r="J18" s="66">
        <f t="shared" si="0"/>
        <v>44985</v>
      </c>
      <c r="K18" s="67">
        <f t="shared" si="1"/>
        <v>0</v>
      </c>
      <c r="L18" s="67">
        <f t="shared" si="2"/>
        <v>6164.3835616438355</v>
      </c>
      <c r="M18" s="68">
        <f>SUM(K18:L18)</f>
        <v>6164.3835616438355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2:143" ht="12.75" customHeight="1" x14ac:dyDescent="0.2">
      <c r="I19" s="83"/>
      <c r="J19" s="66">
        <f t="shared" si="0"/>
        <v>45077</v>
      </c>
      <c r="K19" s="67">
        <f t="shared" si="1"/>
        <v>0</v>
      </c>
      <c r="L19" s="67">
        <f t="shared" si="2"/>
        <v>6301.3698630136996</v>
      </c>
      <c r="M19" s="68">
        <f t="shared" ref="M19:M24" si="3">SUM(K19:L19)</f>
        <v>6301.3698630136996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2:143" ht="12.75" customHeight="1" x14ac:dyDescent="0.2">
      <c r="I20" s="83"/>
      <c r="J20" s="66">
        <f t="shared" si="0"/>
        <v>45169</v>
      </c>
      <c r="K20" s="67">
        <f t="shared" si="1"/>
        <v>825000</v>
      </c>
      <c r="L20" s="67">
        <f t="shared" si="2"/>
        <v>6301.3698630136996</v>
      </c>
      <c r="M20" s="68">
        <f t="shared" si="3"/>
        <v>831301.36986301374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2:143" ht="12.75" customHeight="1" x14ac:dyDescent="0.2">
      <c r="I21" s="83"/>
      <c r="J21" s="66">
        <f t="shared" si="0"/>
        <v>45260</v>
      </c>
      <c r="K21" s="67">
        <f t="shared" si="1"/>
        <v>0</v>
      </c>
      <c r="L21" s="67">
        <f t="shared" si="2"/>
        <v>4176.0273972602745</v>
      </c>
      <c r="M21" s="68">
        <f t="shared" si="3"/>
        <v>4176.0273972602745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2:143" ht="12.75" customHeight="1" x14ac:dyDescent="0.2">
      <c r="I22" s="83"/>
      <c r="J22" s="66">
        <f t="shared" si="0"/>
        <v>45351</v>
      </c>
      <c r="K22" s="67">
        <f t="shared" si="1"/>
        <v>825000</v>
      </c>
      <c r="L22" s="67">
        <f t="shared" si="2"/>
        <v>4176.0273972602745</v>
      </c>
      <c r="M22" s="68">
        <f t="shared" si="3"/>
        <v>829176.0273972603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2:143" ht="12.75" customHeight="1" x14ac:dyDescent="0.2">
      <c r="I23" s="83"/>
      <c r="J23" s="66">
        <f t="shared" si="0"/>
        <v>45443</v>
      </c>
      <c r="K23" s="67">
        <f t="shared" si="1"/>
        <v>0</v>
      </c>
      <c r="L23" s="67">
        <f t="shared" si="2"/>
        <v>2142.4657534246576</v>
      </c>
      <c r="M23" s="68">
        <f t="shared" si="3"/>
        <v>2142.4657534246576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2:143" ht="12.75" customHeight="1" x14ac:dyDescent="0.2">
      <c r="I24" s="83"/>
      <c r="J24" s="66">
        <f t="shared" si="0"/>
        <v>45534</v>
      </c>
      <c r="K24" s="67">
        <f t="shared" si="1"/>
        <v>850000</v>
      </c>
      <c r="L24" s="67">
        <f t="shared" si="2"/>
        <v>2119.178082191781</v>
      </c>
      <c r="M24" s="68">
        <f t="shared" si="3"/>
        <v>852119.17808219173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2:143" ht="12.75" customHeight="1" x14ac:dyDescent="0.2">
      <c r="I25" s="84"/>
      <c r="J25" s="69" t="s">
        <v>14</v>
      </c>
      <c r="K25" s="70">
        <f>SUM(K17:K24)</f>
        <v>2500000</v>
      </c>
      <c r="L25" s="70">
        <f>SUM(L17:L24)</f>
        <v>37613.698630136991</v>
      </c>
      <c r="M25" s="71">
        <f>SUM(K25:L25)</f>
        <v>2537613.6986301369</v>
      </c>
      <c r="N25" s="8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2:143" x14ac:dyDescent="0.2">
      <c r="H26" s="51"/>
      <c r="I26" s="6"/>
      <c r="J26" s="6"/>
      <c r="M26" s="7"/>
      <c r="N26" s="8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2:143" ht="14.25" customHeight="1" x14ac:dyDescent="0.2">
      <c r="G27" s="101" t="s">
        <v>20</v>
      </c>
      <c r="H27" s="103" t="s">
        <v>15</v>
      </c>
      <c r="I27" s="103" t="s">
        <v>16</v>
      </c>
      <c r="J27" s="103" t="s">
        <v>24</v>
      </c>
      <c r="K27" s="105" t="s">
        <v>23</v>
      </c>
      <c r="L27" s="105" t="s">
        <v>6</v>
      </c>
      <c r="M27" s="105" t="s">
        <v>17</v>
      </c>
      <c r="N27" s="119" t="s">
        <v>7</v>
      </c>
      <c r="O27" s="121" t="s">
        <v>18</v>
      </c>
      <c r="R27" s="9" t="s">
        <v>22</v>
      </c>
      <c r="S27" s="9" t="s">
        <v>8</v>
      </c>
      <c r="T27" s="9" t="s">
        <v>9</v>
      </c>
      <c r="U27" s="9" t="s">
        <v>10</v>
      </c>
      <c r="V27" s="9" t="s">
        <v>11</v>
      </c>
      <c r="W27" s="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2:143" x14ac:dyDescent="0.2">
      <c r="C28" s="1" t="s">
        <v>26</v>
      </c>
      <c r="G28" s="102"/>
      <c r="H28" s="104"/>
      <c r="I28" s="104"/>
      <c r="J28" s="104"/>
      <c r="K28" s="106"/>
      <c r="L28" s="106"/>
      <c r="M28" s="106"/>
      <c r="N28" s="120"/>
      <c r="O28" s="122"/>
      <c r="R28" s="10"/>
      <c r="S28" s="11">
        <f>+L10</f>
        <v>1.0037568211555482E-2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2:143" x14ac:dyDescent="0.2">
      <c r="B29" s="12"/>
      <c r="C29" s="28">
        <f>+H10</f>
        <v>44804</v>
      </c>
      <c r="D29" s="12"/>
      <c r="E29" s="28">
        <f>+H14</f>
        <v>44804</v>
      </c>
      <c r="F29" s="44">
        <f>+H10</f>
        <v>44804</v>
      </c>
      <c r="G29" s="47">
        <f t="shared" ref="G29:G37" si="4">+F29</f>
        <v>44804</v>
      </c>
      <c r="H29" s="75"/>
      <c r="I29" s="75"/>
      <c r="J29" s="46"/>
      <c r="K29" s="75"/>
      <c r="L29" s="75"/>
      <c r="M29" s="74">
        <v>100</v>
      </c>
      <c r="N29" s="76">
        <f>-P12*100</f>
        <v>-100</v>
      </c>
      <c r="O29" s="77">
        <f>+P13*-1</f>
        <v>-2500000</v>
      </c>
      <c r="R29" s="10"/>
      <c r="S29" s="11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2:143" s="12" customFormat="1" ht="12.75" customHeight="1" x14ac:dyDescent="0.2">
      <c r="B30" s="12">
        <f t="shared" ref="B30:B37" si="5">DATEDIF($C$29,C30,"m")</f>
        <v>2</v>
      </c>
      <c r="C30" s="28">
        <f>EDATE(C29,3)</f>
        <v>44895</v>
      </c>
      <c r="D30" s="37">
        <f t="shared" ref="D30:D37" si="6">+C30-C29</f>
        <v>91</v>
      </c>
      <c r="E30" s="28">
        <f t="shared" ref="E30:E37" si="7">+G30</f>
        <v>44895</v>
      </c>
      <c r="F30" s="44">
        <f>+F29+D30</f>
        <v>44895</v>
      </c>
      <c r="G30" s="47">
        <f t="shared" si="4"/>
        <v>44895</v>
      </c>
      <c r="H30" s="48">
        <f t="shared" ref="H30:H37" si="8">+F30-F29</f>
        <v>91</v>
      </c>
      <c r="I30" s="48">
        <f t="shared" ref="I30:I37" si="9">+IF(G30-$H$14&lt;0,0,G30-$H$14)</f>
        <v>91</v>
      </c>
      <c r="J30" s="46">
        <f t="shared" ref="J30:J37" si="10">+$P$14</f>
        <v>0.01</v>
      </c>
      <c r="K30" s="49">
        <f>+J30/365*H30*M29</f>
        <v>0.24931506849315069</v>
      </c>
      <c r="L30" s="50">
        <v>0</v>
      </c>
      <c r="M30" s="50">
        <f t="shared" ref="M30:M37" si="11">+M29-L30</f>
        <v>100</v>
      </c>
      <c r="N30" s="50">
        <f t="shared" ref="N30:N37" si="12">+IF(G30&gt;$H$14,K30+L30,0)</f>
        <v>0.24931506849315069</v>
      </c>
      <c r="O30" s="52">
        <f t="shared" ref="O30:O37" si="13">+N30*$P$13/100</f>
        <v>6232.8767123287671</v>
      </c>
      <c r="P30" s="1"/>
      <c r="Q30" s="1"/>
      <c r="R30" s="16">
        <f t="shared" ref="R30:R37" si="14">I30/365</f>
        <v>0.24931506849315069</v>
      </c>
      <c r="S30" s="16">
        <f t="shared" ref="S30:S37" si="15">1/(1+$L$10)^(I30/365)</f>
        <v>0.99751305674899982</v>
      </c>
      <c r="T30" s="17">
        <f t="shared" ref="T30:T37" si="16">+N30</f>
        <v>0.24931506849315069</v>
      </c>
      <c r="U30" s="17">
        <f>+T30*S30</f>
        <v>0.24869503606618901</v>
      </c>
      <c r="V30" s="17">
        <f>+U30*R30</f>
        <v>6.2003419950748491E-2</v>
      </c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</row>
    <row r="31" spans="2:143" s="12" customFormat="1" ht="12.75" customHeight="1" x14ac:dyDescent="0.2">
      <c r="B31" s="12">
        <f t="shared" si="5"/>
        <v>5</v>
      </c>
      <c r="C31" s="28">
        <f>EDATE(C30,3)</f>
        <v>44985</v>
      </c>
      <c r="D31" s="37">
        <f t="shared" si="6"/>
        <v>90</v>
      </c>
      <c r="E31" s="28">
        <f t="shared" si="7"/>
        <v>44985</v>
      </c>
      <c r="F31" s="44">
        <f t="shared" ref="F31:F35" si="17">+F30+D31</f>
        <v>44985</v>
      </c>
      <c r="G31" s="47">
        <f t="shared" si="4"/>
        <v>44985</v>
      </c>
      <c r="H31" s="48">
        <f t="shared" si="8"/>
        <v>90</v>
      </c>
      <c r="I31" s="48">
        <f t="shared" si="9"/>
        <v>181</v>
      </c>
      <c r="J31" s="46">
        <f t="shared" si="10"/>
        <v>0.01</v>
      </c>
      <c r="K31" s="49">
        <f>+J31/365*H31*M30</f>
        <v>0.24657534246575341</v>
      </c>
      <c r="L31" s="50">
        <v>0</v>
      </c>
      <c r="M31" s="50">
        <f t="shared" si="11"/>
        <v>100</v>
      </c>
      <c r="N31" s="50">
        <f t="shared" si="12"/>
        <v>0.24657534246575341</v>
      </c>
      <c r="O31" s="52">
        <f t="shared" si="13"/>
        <v>6164.3835616438355</v>
      </c>
      <c r="P31" s="1"/>
      <c r="Q31" s="1"/>
      <c r="R31" s="16">
        <f t="shared" si="14"/>
        <v>0.49589041095890413</v>
      </c>
      <c r="S31" s="16">
        <f t="shared" si="15"/>
        <v>0.99505952591165547</v>
      </c>
      <c r="T31" s="17">
        <f t="shared" si="16"/>
        <v>0.24657534246575341</v>
      </c>
      <c r="U31" s="17">
        <f t="shared" ref="U31:U37" si="18">+T31*S31</f>
        <v>0.24535714337547668</v>
      </c>
      <c r="V31" s="17">
        <f t="shared" ref="V31:V37" si="19">+U31*R31</f>
        <v>0.12167025466016788</v>
      </c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</row>
    <row r="32" spans="2:143" s="12" customFormat="1" ht="12.75" customHeight="1" x14ac:dyDescent="0.2">
      <c r="B32" s="12">
        <f t="shared" si="5"/>
        <v>9</v>
      </c>
      <c r="C32" s="28">
        <f>EDATE(C31,3)+3</f>
        <v>45077</v>
      </c>
      <c r="D32" s="37">
        <f t="shared" si="6"/>
        <v>92</v>
      </c>
      <c r="E32" s="28">
        <f t="shared" si="7"/>
        <v>45077</v>
      </c>
      <c r="F32" s="44">
        <f t="shared" si="17"/>
        <v>45077</v>
      </c>
      <c r="G32" s="47">
        <f t="shared" si="4"/>
        <v>45077</v>
      </c>
      <c r="H32" s="48">
        <f t="shared" si="8"/>
        <v>92</v>
      </c>
      <c r="I32" s="48">
        <f t="shared" si="9"/>
        <v>273</v>
      </c>
      <c r="J32" s="46">
        <f t="shared" si="10"/>
        <v>0.01</v>
      </c>
      <c r="K32" s="49">
        <f t="shared" ref="K32:K37" si="20">+J32/365*H32*M31</f>
        <v>0.25205479452054796</v>
      </c>
      <c r="L32" s="50">
        <v>0</v>
      </c>
      <c r="M32" s="50">
        <f t="shared" si="11"/>
        <v>100</v>
      </c>
      <c r="N32" s="50">
        <f t="shared" si="12"/>
        <v>0.25205479452054796</v>
      </c>
      <c r="O32" s="52">
        <f t="shared" si="13"/>
        <v>6301.3698630136996</v>
      </c>
      <c r="P32" s="1"/>
      <c r="Q32" s="1"/>
      <c r="R32" s="16">
        <f t="shared" si="14"/>
        <v>0.74794520547945209</v>
      </c>
      <c r="S32" s="16">
        <f t="shared" si="15"/>
        <v>0.9925577095257383</v>
      </c>
      <c r="T32" s="17">
        <f t="shared" si="16"/>
        <v>0.25205479452054796</v>
      </c>
      <c r="U32" s="17">
        <f t="shared" si="18"/>
        <v>0.25017892952429571</v>
      </c>
      <c r="V32" s="17">
        <f t="shared" si="19"/>
        <v>0.18712013084967871</v>
      </c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</row>
    <row r="33" spans="2:143" s="12" customFormat="1" ht="12.75" customHeight="1" x14ac:dyDescent="0.2">
      <c r="B33" s="12">
        <f t="shared" si="5"/>
        <v>12</v>
      </c>
      <c r="C33" s="28">
        <f t="shared" ref="C33" si="21">EDATE(C32,3)</f>
        <v>45169</v>
      </c>
      <c r="D33" s="37">
        <f t="shared" si="6"/>
        <v>92</v>
      </c>
      <c r="E33" s="28">
        <f t="shared" si="7"/>
        <v>45169</v>
      </c>
      <c r="F33" s="44">
        <f t="shared" si="17"/>
        <v>45169</v>
      </c>
      <c r="G33" s="47">
        <f t="shared" si="4"/>
        <v>45169</v>
      </c>
      <c r="H33" s="48">
        <f t="shared" si="8"/>
        <v>92</v>
      </c>
      <c r="I33" s="48">
        <f t="shared" si="9"/>
        <v>365</v>
      </c>
      <c r="J33" s="46">
        <f t="shared" si="10"/>
        <v>0.01</v>
      </c>
      <c r="K33" s="49">
        <f t="shared" si="20"/>
        <v>0.25205479452054796</v>
      </c>
      <c r="L33" s="50">
        <v>33</v>
      </c>
      <c r="M33" s="50">
        <f t="shared" si="11"/>
        <v>67</v>
      </c>
      <c r="N33" s="50">
        <f t="shared" si="12"/>
        <v>33.252054794520546</v>
      </c>
      <c r="O33" s="52">
        <f t="shared" si="13"/>
        <v>831301.36986301362</v>
      </c>
      <c r="P33" s="1"/>
      <c r="Q33" s="1"/>
      <c r="R33" s="16">
        <f t="shared" si="14"/>
        <v>1</v>
      </c>
      <c r="S33" s="16">
        <f t="shared" si="15"/>
        <v>0.99006218330143037</v>
      </c>
      <c r="T33" s="17">
        <f t="shared" si="16"/>
        <v>33.252054794520546</v>
      </c>
      <c r="U33" s="17">
        <f t="shared" si="18"/>
        <v>32.921601969121809</v>
      </c>
      <c r="V33" s="17">
        <f t="shared" si="19"/>
        <v>32.921601969121809</v>
      </c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</row>
    <row r="34" spans="2:143" s="12" customFormat="1" ht="12.75" customHeight="1" x14ac:dyDescent="0.2">
      <c r="B34" s="12">
        <f t="shared" si="5"/>
        <v>14</v>
      </c>
      <c r="C34" s="28">
        <f>EDATE(C33,3)</f>
        <v>45260</v>
      </c>
      <c r="D34" s="37">
        <f t="shared" si="6"/>
        <v>91</v>
      </c>
      <c r="E34" s="28">
        <f t="shared" si="7"/>
        <v>45260</v>
      </c>
      <c r="F34" s="44">
        <f t="shared" si="17"/>
        <v>45260</v>
      </c>
      <c r="G34" s="47">
        <f t="shared" si="4"/>
        <v>45260</v>
      </c>
      <c r="H34" s="48">
        <f t="shared" si="8"/>
        <v>91</v>
      </c>
      <c r="I34" s="48">
        <f t="shared" si="9"/>
        <v>456</v>
      </c>
      <c r="J34" s="46">
        <f t="shared" si="10"/>
        <v>0.01</v>
      </c>
      <c r="K34" s="49">
        <f t="shared" si="20"/>
        <v>0.16704109589041097</v>
      </c>
      <c r="L34" s="50">
        <v>0</v>
      </c>
      <c r="M34" s="50">
        <f t="shared" si="11"/>
        <v>67</v>
      </c>
      <c r="N34" s="50">
        <f t="shared" si="12"/>
        <v>0.16704109589041097</v>
      </c>
      <c r="O34" s="52">
        <f t="shared" si="13"/>
        <v>4176.0273972602745</v>
      </c>
      <c r="P34" s="1"/>
      <c r="Q34" s="1"/>
      <c r="R34" s="16">
        <f t="shared" si="14"/>
        <v>1.2493150684931507</v>
      </c>
      <c r="S34" s="16">
        <f t="shared" si="15"/>
        <v>0.98759995483659835</v>
      </c>
      <c r="T34" s="17">
        <f t="shared" si="16"/>
        <v>0.16704109589041097</v>
      </c>
      <c r="U34" s="17">
        <f t="shared" si="18"/>
        <v>0.16496977875722577</v>
      </c>
      <c r="V34" s="17">
        <f t="shared" si="19"/>
        <v>0.20609923044738343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</row>
    <row r="35" spans="2:143" s="12" customFormat="1" ht="12.75" customHeight="1" x14ac:dyDescent="0.2">
      <c r="B35" s="12">
        <f t="shared" si="5"/>
        <v>17</v>
      </c>
      <c r="C35" s="28">
        <f>EDATE(C34,3)</f>
        <v>45351</v>
      </c>
      <c r="D35" s="37">
        <f t="shared" si="6"/>
        <v>91</v>
      </c>
      <c r="E35" s="28">
        <f t="shared" si="7"/>
        <v>45351</v>
      </c>
      <c r="F35" s="44">
        <f t="shared" si="17"/>
        <v>45351</v>
      </c>
      <c r="G35" s="47">
        <f t="shared" si="4"/>
        <v>45351</v>
      </c>
      <c r="H35" s="48">
        <f t="shared" si="8"/>
        <v>91</v>
      </c>
      <c r="I35" s="48">
        <f t="shared" si="9"/>
        <v>547</v>
      </c>
      <c r="J35" s="46">
        <f t="shared" si="10"/>
        <v>0.01</v>
      </c>
      <c r="K35" s="49">
        <f t="shared" si="20"/>
        <v>0.16704109589041097</v>
      </c>
      <c r="L35" s="50">
        <v>33</v>
      </c>
      <c r="M35" s="50">
        <f t="shared" si="11"/>
        <v>34</v>
      </c>
      <c r="N35" s="50">
        <f t="shared" si="12"/>
        <v>33.167041095890411</v>
      </c>
      <c r="O35" s="52">
        <f t="shared" si="13"/>
        <v>829176.02739726019</v>
      </c>
      <c r="P35" s="1"/>
      <c r="Q35" s="1"/>
      <c r="R35" s="16">
        <f t="shared" si="14"/>
        <v>1.4986301369863013</v>
      </c>
      <c r="S35" s="16">
        <f t="shared" si="15"/>
        <v>0.98514384979422953</v>
      </c>
      <c r="T35" s="17">
        <f t="shared" si="16"/>
        <v>33.167041095890411</v>
      </c>
      <c r="U35" s="17">
        <f t="shared" si="18"/>
        <v>32.674306551488904</v>
      </c>
      <c r="V35" s="17">
        <f t="shared" si="19"/>
        <v>48.966700503190218</v>
      </c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</row>
    <row r="36" spans="2:143" s="12" customFormat="1" ht="12.75" customHeight="1" x14ac:dyDescent="0.2">
      <c r="B36" s="12">
        <f t="shared" si="5"/>
        <v>21</v>
      </c>
      <c r="C36" s="28">
        <f>EDATE(C35,3)+2</f>
        <v>45443</v>
      </c>
      <c r="D36" s="37">
        <f t="shared" si="6"/>
        <v>92</v>
      </c>
      <c r="E36" s="28">
        <f t="shared" si="7"/>
        <v>45443</v>
      </c>
      <c r="F36" s="44">
        <f t="shared" ref="F36:F37" si="22">+F35+D36</f>
        <v>45443</v>
      </c>
      <c r="G36" s="47">
        <f t="shared" si="4"/>
        <v>45443</v>
      </c>
      <c r="H36" s="48">
        <f t="shared" si="8"/>
        <v>92</v>
      </c>
      <c r="I36" s="48">
        <f t="shared" si="9"/>
        <v>639</v>
      </c>
      <c r="J36" s="46">
        <f t="shared" si="10"/>
        <v>0.01</v>
      </c>
      <c r="K36" s="49">
        <f t="shared" si="20"/>
        <v>8.5698630136986309E-2</v>
      </c>
      <c r="L36" s="50">
        <v>0</v>
      </c>
      <c r="M36" s="50">
        <f t="shared" si="11"/>
        <v>34</v>
      </c>
      <c r="N36" s="50">
        <f t="shared" si="12"/>
        <v>8.5698630136986309E-2</v>
      </c>
      <c r="O36" s="52">
        <f t="shared" si="13"/>
        <v>2142.4657534246576</v>
      </c>
      <c r="P36" s="1"/>
      <c r="Q36" s="1"/>
      <c r="R36" s="16">
        <f t="shared" si="14"/>
        <v>1.7506849315068493</v>
      </c>
      <c r="S36" s="16">
        <f t="shared" si="15"/>
        <v>0.98266696377714147</v>
      </c>
      <c r="T36" s="17">
        <f t="shared" si="16"/>
        <v>8.5698630136986309E-2</v>
      </c>
      <c r="U36" s="17">
        <f t="shared" si="18"/>
        <v>8.4213212676572571E-2</v>
      </c>
      <c r="V36" s="17">
        <f t="shared" si="19"/>
        <v>0.14743080246665718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</row>
    <row r="37" spans="2:143" s="12" customFormat="1" ht="12.75" customHeight="1" x14ac:dyDescent="0.2">
      <c r="B37" s="12">
        <f t="shared" si="5"/>
        <v>23</v>
      </c>
      <c r="C37" s="28">
        <f>EDATE(C36,3)-1</f>
        <v>45534</v>
      </c>
      <c r="D37" s="37">
        <f t="shared" si="6"/>
        <v>91</v>
      </c>
      <c r="E37" s="28">
        <f t="shared" si="7"/>
        <v>45534</v>
      </c>
      <c r="F37" s="44">
        <f t="shared" si="22"/>
        <v>45534</v>
      </c>
      <c r="G37" s="55">
        <f t="shared" si="4"/>
        <v>45534</v>
      </c>
      <c r="H37" s="53">
        <f t="shared" si="8"/>
        <v>91</v>
      </c>
      <c r="I37" s="53">
        <f t="shared" si="9"/>
        <v>730</v>
      </c>
      <c r="J37" s="54">
        <f t="shared" si="10"/>
        <v>0.01</v>
      </c>
      <c r="K37" s="56">
        <f t="shared" si="20"/>
        <v>8.4767123287671234E-2</v>
      </c>
      <c r="L37" s="57">
        <v>34</v>
      </c>
      <c r="M37" s="57">
        <f t="shared" si="11"/>
        <v>0</v>
      </c>
      <c r="N37" s="57">
        <f t="shared" si="12"/>
        <v>34.084767123287669</v>
      </c>
      <c r="O37" s="58">
        <f t="shared" si="13"/>
        <v>852119.17808219185</v>
      </c>
      <c r="P37" s="1"/>
      <c r="Q37" s="1"/>
      <c r="R37" s="16">
        <f t="shared" si="14"/>
        <v>2</v>
      </c>
      <c r="S37" s="16">
        <f t="shared" si="15"/>
        <v>0.98022312680359514</v>
      </c>
      <c r="T37" s="17">
        <f t="shared" si="16"/>
        <v>34.084767123287669</v>
      </c>
      <c r="U37" s="17">
        <f t="shared" si="18"/>
        <v>33.410677005961418</v>
      </c>
      <c r="V37" s="17">
        <f t="shared" si="19"/>
        <v>66.821354011922836</v>
      </c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</row>
    <row r="38" spans="2:143" s="12" customFormat="1" ht="12.75" customHeight="1" x14ac:dyDescent="0.2">
      <c r="G38" s="45"/>
      <c r="H38" s="13"/>
      <c r="I38" s="13"/>
      <c r="J38" s="46"/>
      <c r="K38" s="14"/>
      <c r="L38" s="43"/>
      <c r="M38" s="15"/>
      <c r="N38" s="15"/>
      <c r="O38" s="42"/>
      <c r="P38" s="1"/>
      <c r="Q38" s="1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</row>
    <row r="39" spans="2:143" ht="12.75" customHeight="1" x14ac:dyDescent="0.2">
      <c r="G39" s="18"/>
      <c r="H39" s="13"/>
      <c r="I39" s="13"/>
      <c r="J39" s="13"/>
      <c r="K39" s="13"/>
      <c r="L39" s="20">
        <f>SUM(L30:L37)</f>
        <v>100</v>
      </c>
      <c r="M39" s="15"/>
      <c r="N39" s="15"/>
      <c r="O39" s="21">
        <f>SUM(O29:O37)</f>
        <v>37613.69863013702</v>
      </c>
      <c r="R39" s="1"/>
      <c r="S39" s="1"/>
      <c r="T39" s="1"/>
      <c r="U39" s="1"/>
      <c r="V39" s="1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</row>
    <row r="40" spans="2:143" x14ac:dyDescent="0.2">
      <c r="R40" s="19"/>
      <c r="S40" s="19"/>
      <c r="T40" s="17"/>
      <c r="U40" s="78">
        <f>SUM(U30:U37)</f>
        <v>99.999999626971899</v>
      </c>
      <c r="V40" s="17">
        <f>SUM(V30:V37)</f>
        <v>149.4339803226095</v>
      </c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</row>
    <row r="41" spans="2:143" x14ac:dyDescent="0.2"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</row>
    <row r="42" spans="2:143" x14ac:dyDescent="0.2">
      <c r="R42" s="1"/>
      <c r="S42" s="1"/>
      <c r="T42" s="1"/>
      <c r="U42" s="1"/>
      <c r="V42" s="1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</row>
    <row r="43" spans="2:143" x14ac:dyDescent="0.2">
      <c r="R43" s="1"/>
      <c r="S43" s="1"/>
      <c r="T43" s="1"/>
      <c r="U43" s="1"/>
      <c r="V43" s="1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</row>
    <row r="44" spans="2:143" x14ac:dyDescent="0.2">
      <c r="R44" s="1"/>
      <c r="S44" s="1"/>
      <c r="T44" s="1"/>
      <c r="U44" s="1"/>
      <c r="V44" s="1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</row>
    <row r="45" spans="2:143" x14ac:dyDescent="0.2">
      <c r="R45" s="1"/>
      <c r="S45" s="1"/>
      <c r="T45" s="1"/>
      <c r="U45" s="1"/>
      <c r="V45" s="1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</row>
    <row r="46" spans="2:143" ht="9.75" customHeight="1" x14ac:dyDescent="0.2">
      <c r="R46" s="1"/>
      <c r="S46" s="1"/>
      <c r="T46" s="1"/>
      <c r="U46" s="1"/>
      <c r="V46" s="1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</row>
    <row r="47" spans="2:143" x14ac:dyDescent="0.2">
      <c r="R47" s="1"/>
      <c r="S47" s="1"/>
      <c r="T47" s="1"/>
      <c r="U47" s="1"/>
      <c r="V47" s="1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</row>
    <row r="48" spans="2:143" x14ac:dyDescent="0.2">
      <c r="R48" s="1"/>
      <c r="S48" s="1"/>
      <c r="T48" s="1"/>
      <c r="U48" s="1"/>
      <c r="V48" s="1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</row>
    <row r="49" spans="8:143" x14ac:dyDescent="0.2">
      <c r="R49" s="1"/>
      <c r="S49" s="1"/>
      <c r="T49" s="1"/>
      <c r="U49" s="1"/>
      <c r="V49" s="1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</row>
    <row r="50" spans="8:143" hidden="1" x14ac:dyDescent="0.2">
      <c r="H50" s="59"/>
      <c r="I50" s="59" t="s">
        <v>29</v>
      </c>
      <c r="J50" s="59"/>
      <c r="K50" s="59" t="s">
        <v>30</v>
      </c>
      <c r="R50" s="1"/>
      <c r="S50" s="1"/>
      <c r="T50" s="1"/>
      <c r="U50" s="1"/>
      <c r="V50" s="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</row>
    <row r="51" spans="8:143" hidden="1" x14ac:dyDescent="0.2">
      <c r="H51" s="59">
        <v>1</v>
      </c>
      <c r="I51" s="59"/>
      <c r="J51" s="59"/>
      <c r="K51" s="59"/>
      <c r="R51" s="1"/>
      <c r="S51" s="1"/>
      <c r="T51" s="1"/>
      <c r="U51" s="1"/>
      <c r="V51" s="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</row>
    <row r="52" spans="8:143" hidden="1" x14ac:dyDescent="0.2">
      <c r="H52" s="59">
        <v>2</v>
      </c>
      <c r="I52" s="59"/>
      <c r="J52" s="59"/>
      <c r="K52" s="59"/>
      <c r="R52" s="1"/>
      <c r="S52" s="1"/>
      <c r="T52" s="1"/>
      <c r="U52" s="1"/>
      <c r="V52" s="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</row>
    <row r="53" spans="8:143" hidden="1" x14ac:dyDescent="0.2">
      <c r="H53" s="59">
        <v>3</v>
      </c>
      <c r="I53" s="59">
        <v>1</v>
      </c>
      <c r="J53" s="59"/>
      <c r="K53" s="59"/>
      <c r="R53" s="1"/>
      <c r="S53" s="1"/>
      <c r="T53" s="1"/>
      <c r="U53" s="1"/>
      <c r="V53" s="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</row>
    <row r="54" spans="8:143" hidden="1" x14ac:dyDescent="0.2">
      <c r="H54" s="59">
        <v>4</v>
      </c>
      <c r="I54" s="59"/>
      <c r="J54" s="59"/>
      <c r="K54" s="59"/>
      <c r="R54" s="1"/>
      <c r="S54" s="1"/>
      <c r="T54" s="1"/>
      <c r="U54" s="1"/>
      <c r="V54" s="1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</row>
    <row r="55" spans="8:143" hidden="1" x14ac:dyDescent="0.2">
      <c r="H55" s="59">
        <v>5</v>
      </c>
      <c r="I55" s="59"/>
      <c r="J55" s="59"/>
      <c r="K55" s="59"/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8:143" hidden="1" x14ac:dyDescent="0.2">
      <c r="H56" s="59">
        <v>6</v>
      </c>
      <c r="I56" s="59">
        <v>2</v>
      </c>
      <c r="J56" s="59">
        <v>1</v>
      </c>
      <c r="K56" s="59"/>
      <c r="R56" s="1"/>
      <c r="S56" s="1"/>
      <c r="T56" s="1"/>
      <c r="U56" s="1"/>
      <c r="V56" s="1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8:143" hidden="1" x14ac:dyDescent="0.2">
      <c r="H57" s="59">
        <v>7</v>
      </c>
      <c r="I57" s="59"/>
      <c r="J57" s="59"/>
      <c r="K57" s="59"/>
      <c r="R57" s="1"/>
      <c r="S57" s="1"/>
      <c r="T57" s="1"/>
      <c r="U57" s="1"/>
      <c r="V57" s="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8:143" hidden="1" x14ac:dyDescent="0.2">
      <c r="H58" s="59">
        <v>8</v>
      </c>
      <c r="I58" s="59"/>
      <c r="J58" s="59"/>
      <c r="K58" s="59"/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8:143" hidden="1" x14ac:dyDescent="0.2">
      <c r="H59" s="59">
        <v>9</v>
      </c>
      <c r="I59" s="59">
        <v>3</v>
      </c>
      <c r="J59" s="59"/>
      <c r="K59" s="59"/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8:143" hidden="1" x14ac:dyDescent="0.2">
      <c r="H60" s="59">
        <v>10</v>
      </c>
      <c r="I60" s="59"/>
      <c r="J60" s="59"/>
      <c r="K60" s="59"/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8:143" hidden="1" x14ac:dyDescent="0.2">
      <c r="H61" s="59">
        <v>11</v>
      </c>
      <c r="I61" s="59"/>
      <c r="J61" s="59"/>
      <c r="K61" s="59"/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8:143" hidden="1" x14ac:dyDescent="0.2">
      <c r="H62" s="59">
        <v>12</v>
      </c>
      <c r="I62" s="59">
        <v>4</v>
      </c>
      <c r="J62" s="59">
        <v>2</v>
      </c>
      <c r="K62" s="59"/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8:143" hidden="1" x14ac:dyDescent="0.2">
      <c r="H63" s="59">
        <v>13</v>
      </c>
      <c r="I63" s="59"/>
      <c r="J63" s="59"/>
      <c r="K63" s="59"/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8:143" hidden="1" x14ac:dyDescent="0.2">
      <c r="H64" s="59">
        <v>14</v>
      </c>
      <c r="I64" s="59"/>
      <c r="J64" s="59"/>
      <c r="K64" s="59"/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hidden="1" x14ac:dyDescent="0.2">
      <c r="H65" s="59">
        <v>15</v>
      </c>
      <c r="I65" s="59">
        <v>5</v>
      </c>
      <c r="J65" s="59"/>
      <c r="K65" s="59"/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>
        <v>16</v>
      </c>
      <c r="I66" s="59"/>
      <c r="J66" s="59"/>
      <c r="K66" s="59"/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17</v>
      </c>
      <c r="I67" s="59"/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18</v>
      </c>
      <c r="I68" s="59">
        <v>6</v>
      </c>
      <c r="J68" s="59">
        <v>3</v>
      </c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19</v>
      </c>
      <c r="I69" s="59"/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20</v>
      </c>
      <c r="I70" s="59"/>
      <c r="J70" s="59"/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21</v>
      </c>
      <c r="I71" s="59">
        <v>7</v>
      </c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22</v>
      </c>
      <c r="I72" s="59"/>
      <c r="J72" s="59"/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23</v>
      </c>
      <c r="I73" s="59"/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24</v>
      </c>
      <c r="I74" s="59">
        <v>8</v>
      </c>
      <c r="J74" s="59">
        <v>4</v>
      </c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25</v>
      </c>
      <c r="I75" s="59"/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26</v>
      </c>
      <c r="I76" s="59"/>
      <c r="J76" s="59"/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27</v>
      </c>
      <c r="I77" s="59">
        <v>9</v>
      </c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28</v>
      </c>
      <c r="I78" s="59"/>
      <c r="J78" s="59"/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29</v>
      </c>
      <c r="I79" s="59"/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30</v>
      </c>
      <c r="I80" s="59">
        <v>10</v>
      </c>
      <c r="J80" s="59">
        <v>5</v>
      </c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31</v>
      </c>
      <c r="I81" s="59"/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32</v>
      </c>
      <c r="I82" s="59"/>
      <c r="J82" s="59"/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33</v>
      </c>
      <c r="I83" s="59">
        <v>11</v>
      </c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34</v>
      </c>
      <c r="I84" s="59"/>
      <c r="J84" s="59"/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35</v>
      </c>
      <c r="I85" s="59"/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36</v>
      </c>
      <c r="I86" s="59">
        <v>12</v>
      </c>
      <c r="J86" s="59">
        <v>6</v>
      </c>
      <c r="K86" s="59">
        <v>1</v>
      </c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37</v>
      </c>
      <c r="I87" s="59"/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38</v>
      </c>
      <c r="I88" s="59"/>
      <c r="J88" s="59"/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39</v>
      </c>
      <c r="I89" s="59">
        <v>13</v>
      </c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40</v>
      </c>
      <c r="I90" s="59"/>
      <c r="J90" s="59"/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41</v>
      </c>
      <c r="I91" s="59"/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42</v>
      </c>
      <c r="I92" s="59">
        <v>14</v>
      </c>
      <c r="J92" s="59">
        <v>7</v>
      </c>
      <c r="K92" s="59">
        <v>2</v>
      </c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43</v>
      </c>
      <c r="I93" s="59"/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44</v>
      </c>
      <c r="I94" s="59"/>
      <c r="J94" s="59"/>
      <c r="K94" s="59"/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45</v>
      </c>
      <c r="I95" s="59">
        <v>15</v>
      </c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46</v>
      </c>
      <c r="I96" s="59"/>
      <c r="J96" s="59"/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47</v>
      </c>
      <c r="I97" s="59"/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48</v>
      </c>
      <c r="I98" s="59">
        <v>16</v>
      </c>
      <c r="J98" s="59">
        <v>8</v>
      </c>
      <c r="K98" s="59">
        <v>3</v>
      </c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49</v>
      </c>
      <c r="I99" s="59"/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50</v>
      </c>
      <c r="I100" s="59"/>
      <c r="J100" s="59"/>
      <c r="K100" s="59"/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51</v>
      </c>
      <c r="I101" s="59">
        <v>17</v>
      </c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52</v>
      </c>
      <c r="I102" s="59"/>
      <c r="J102" s="59"/>
      <c r="K102" s="59"/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53</v>
      </c>
      <c r="I103" s="59"/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54</v>
      </c>
      <c r="I104" s="59">
        <v>18</v>
      </c>
      <c r="J104" s="59">
        <v>9</v>
      </c>
      <c r="K104" s="59">
        <v>4</v>
      </c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55</v>
      </c>
      <c r="I105" s="59"/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56</v>
      </c>
      <c r="I106" s="59"/>
      <c r="J106" s="59"/>
      <c r="K106" s="59"/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57</v>
      </c>
      <c r="I107" s="59">
        <v>19</v>
      </c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58</v>
      </c>
      <c r="I108" s="59"/>
      <c r="J108" s="59"/>
      <c r="K108" s="59"/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59</v>
      </c>
      <c r="I109" s="59"/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60</v>
      </c>
      <c r="I110" s="59">
        <v>20</v>
      </c>
      <c r="J110" s="59">
        <v>10</v>
      </c>
      <c r="K110" s="59">
        <v>5</v>
      </c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18:143" x14ac:dyDescent="0.2"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18:143" x14ac:dyDescent="0.2"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18:143" x14ac:dyDescent="0.2"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18:143" x14ac:dyDescent="0.2"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18:143" x14ac:dyDescent="0.2"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18:143" x14ac:dyDescent="0.2"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18:143" x14ac:dyDescent="0.2"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18:143" x14ac:dyDescent="0.2"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18:143" x14ac:dyDescent="0.2"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18:143" x14ac:dyDescent="0.2"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18:143" x14ac:dyDescent="0.2"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18:143" x14ac:dyDescent="0.2"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18:143" x14ac:dyDescent="0.2"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18:143" x14ac:dyDescent="0.2"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18:143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18:143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</sheetData>
  <sheetProtection selectLockedCells="1"/>
  <mergeCells count="35">
    <mergeCell ref="G8:Q8"/>
    <mergeCell ref="H10:I10"/>
    <mergeCell ref="J10:K10"/>
    <mergeCell ref="L10:M10"/>
    <mergeCell ref="N12:O12"/>
    <mergeCell ref="P12:Q12"/>
    <mergeCell ref="H11:I11"/>
    <mergeCell ref="J11:K11"/>
    <mergeCell ref="L11:M11"/>
    <mergeCell ref="N11:O11"/>
    <mergeCell ref="P11:Q11"/>
    <mergeCell ref="N10:O10"/>
    <mergeCell ref="P10:Q10"/>
    <mergeCell ref="M27:M28"/>
    <mergeCell ref="N27:N28"/>
    <mergeCell ref="O27:O28"/>
    <mergeCell ref="H12:I12"/>
    <mergeCell ref="J12:K12"/>
    <mergeCell ref="L12:M12"/>
    <mergeCell ref="P14:Q14"/>
    <mergeCell ref="P13:Q13"/>
    <mergeCell ref="G27:G28"/>
    <mergeCell ref="H27:H28"/>
    <mergeCell ref="I27:I28"/>
    <mergeCell ref="J27:J28"/>
    <mergeCell ref="K27:K28"/>
    <mergeCell ref="L27:L28"/>
    <mergeCell ref="H13:I13"/>
    <mergeCell ref="J13:K13"/>
    <mergeCell ref="L13:M13"/>
    <mergeCell ref="N13:O13"/>
    <mergeCell ref="H14:I14"/>
    <mergeCell ref="J14:K14"/>
    <mergeCell ref="L14:M14"/>
    <mergeCell ref="N14:O1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7"/>
  <sheetViews>
    <sheetView showGridLines="0" topLeftCell="H4" zoomScaleNormal="100" zoomScaleSheetLayoutView="130" workbookViewId="0">
      <selection activeCell="W19" sqref="W19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0" width="9.140625" style="4" hidden="1" customWidth="1"/>
    <col min="21" max="21" width="9.5703125" style="4" hidden="1" customWidth="1"/>
    <col min="22" max="22" width="15.85546875" style="4" hidden="1" customWidth="1"/>
    <col min="23" max="23" width="8.28515625" style="1" customWidth="1"/>
    <col min="24" max="24" width="9.42578125" style="1" customWidth="1"/>
    <col min="25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125" t="s">
        <v>42</v>
      </c>
      <c r="H8" s="126"/>
      <c r="I8" s="126"/>
      <c r="J8" s="126"/>
      <c r="K8" s="126"/>
      <c r="L8" s="126"/>
      <c r="M8" s="126"/>
      <c r="N8" s="126"/>
      <c r="O8" s="126"/>
      <c r="P8" s="127"/>
      <c r="Q8" s="128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81" t="s">
        <v>0</v>
      </c>
      <c r="H10" s="129">
        <v>44804</v>
      </c>
      <c r="I10" s="130"/>
      <c r="J10" s="131" t="s">
        <v>1</v>
      </c>
      <c r="K10" s="132"/>
      <c r="L10" s="133">
        <f>XIRR(O29:O37,E29:E37)</f>
        <v>0.79996284246444715</v>
      </c>
      <c r="M10" s="134"/>
      <c r="N10" s="131" t="s">
        <v>32</v>
      </c>
      <c r="O10" s="132"/>
      <c r="P10" s="133" t="s">
        <v>33</v>
      </c>
      <c r="Q10" s="134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79" t="s">
        <v>3</v>
      </c>
      <c r="H11" s="135">
        <f>+C37</f>
        <v>45534</v>
      </c>
      <c r="I11" s="136"/>
      <c r="J11" s="109" t="s">
        <v>21</v>
      </c>
      <c r="K11" s="110"/>
      <c r="L11" s="123">
        <f>+NOMINAL(L10,4)</f>
        <v>0.63314483025516921</v>
      </c>
      <c r="M11" s="124"/>
      <c r="N11" s="109" t="s">
        <v>36</v>
      </c>
      <c r="O11" s="110"/>
      <c r="P11" s="137">
        <v>137.39670000000001</v>
      </c>
      <c r="Q11" s="138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79" t="s">
        <v>34</v>
      </c>
      <c r="H12" s="123" t="s">
        <v>38</v>
      </c>
      <c r="I12" s="124"/>
      <c r="J12" s="109" t="s">
        <v>39</v>
      </c>
      <c r="K12" s="110"/>
      <c r="L12" s="111">
        <f>+(V40/U40)*12</f>
        <v>12.620530322358185</v>
      </c>
      <c r="M12" s="112"/>
      <c r="N12" s="109" t="s">
        <v>2</v>
      </c>
      <c r="O12" s="110"/>
      <c r="P12" s="123">
        <v>1</v>
      </c>
      <c r="Q12" s="124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79"/>
      <c r="H13" s="107"/>
      <c r="I13" s="108"/>
      <c r="J13" s="109" t="s">
        <v>40</v>
      </c>
      <c r="K13" s="110"/>
      <c r="L13" s="111" t="s">
        <v>44</v>
      </c>
      <c r="M13" s="112"/>
      <c r="N13" s="109" t="s">
        <v>5</v>
      </c>
      <c r="O13" s="110"/>
      <c r="P13" s="99">
        <v>2500000</v>
      </c>
      <c r="Q13" s="100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80" t="s">
        <v>4</v>
      </c>
      <c r="H14" s="113">
        <f>+H10</f>
        <v>44804</v>
      </c>
      <c r="I14" s="114"/>
      <c r="J14" s="115" t="s">
        <v>31</v>
      </c>
      <c r="K14" s="116"/>
      <c r="L14" s="117">
        <v>24</v>
      </c>
      <c r="M14" s="118"/>
      <c r="N14" s="115" t="s">
        <v>41</v>
      </c>
      <c r="O14" s="116"/>
      <c r="P14" s="97">
        <v>0</v>
      </c>
      <c r="Q14" s="98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82"/>
      <c r="J16" s="63" t="s">
        <v>12</v>
      </c>
      <c r="K16" s="64" t="s">
        <v>19</v>
      </c>
      <c r="L16" s="64" t="s">
        <v>13</v>
      </c>
      <c r="M16" s="65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2:143" ht="12.75" customHeight="1" x14ac:dyDescent="0.2">
      <c r="I17" s="83"/>
      <c r="J17" s="66">
        <f t="shared" ref="J17:J24" si="0">+G30</f>
        <v>44895</v>
      </c>
      <c r="K17" s="67">
        <f t="shared" ref="K17:K22" si="1">+$P$13*L30/100</f>
        <v>0</v>
      </c>
      <c r="L17" s="67">
        <f t="shared" ref="L17:L22" si="2">+$P$13*K30/100</f>
        <v>394603.42465753423</v>
      </c>
      <c r="M17" s="68">
        <f>SUM(K17:L17)</f>
        <v>394603.42465753423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2:143" ht="12.75" customHeight="1" x14ac:dyDescent="0.2">
      <c r="I18" s="83"/>
      <c r="J18" s="66">
        <f t="shared" si="0"/>
        <v>44985</v>
      </c>
      <c r="K18" s="67">
        <f t="shared" si="1"/>
        <v>0</v>
      </c>
      <c r="L18" s="67">
        <f t="shared" si="2"/>
        <v>390267.12328767119</v>
      </c>
      <c r="M18" s="68">
        <f>SUM(K18:L18)</f>
        <v>390267.12328767119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2:143" ht="12.75" customHeight="1" x14ac:dyDescent="0.2">
      <c r="I19" s="83"/>
      <c r="J19" s="66">
        <f t="shared" si="0"/>
        <v>45077</v>
      </c>
      <c r="K19" s="67">
        <f t="shared" si="1"/>
        <v>0</v>
      </c>
      <c r="L19" s="67">
        <f t="shared" si="2"/>
        <v>398939.72602739721</v>
      </c>
      <c r="M19" s="68">
        <f t="shared" ref="M19:M24" si="3">SUM(K19:L19)</f>
        <v>398939.72602739721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2:143" ht="12.75" customHeight="1" x14ac:dyDescent="0.2">
      <c r="I20" s="83"/>
      <c r="J20" s="66">
        <f t="shared" si="0"/>
        <v>45169</v>
      </c>
      <c r="K20" s="67">
        <f t="shared" si="1"/>
        <v>825000</v>
      </c>
      <c r="L20" s="67">
        <f t="shared" si="2"/>
        <v>398939.72602739721</v>
      </c>
      <c r="M20" s="68">
        <f t="shared" si="3"/>
        <v>1223939.7260273972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2:143" ht="12.75" customHeight="1" x14ac:dyDescent="0.2">
      <c r="I21" s="83"/>
      <c r="J21" s="66">
        <f t="shared" si="0"/>
        <v>45260</v>
      </c>
      <c r="K21" s="67">
        <f t="shared" si="1"/>
        <v>0</v>
      </c>
      <c r="L21" s="67">
        <f t="shared" si="2"/>
        <v>264384.29452054796</v>
      </c>
      <c r="M21" s="68">
        <f t="shared" si="3"/>
        <v>264384.29452054796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2:143" ht="12.75" customHeight="1" x14ac:dyDescent="0.2">
      <c r="I22" s="83"/>
      <c r="J22" s="66">
        <f t="shared" si="0"/>
        <v>45351</v>
      </c>
      <c r="K22" s="67">
        <f t="shared" si="1"/>
        <v>825000</v>
      </c>
      <c r="L22" s="67">
        <f t="shared" si="2"/>
        <v>264384.29452054796</v>
      </c>
      <c r="M22" s="68">
        <f t="shared" si="3"/>
        <v>1089384.2945205481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2:143" ht="12.75" customHeight="1" x14ac:dyDescent="0.2">
      <c r="I23" s="83"/>
      <c r="J23" s="66">
        <f t="shared" si="0"/>
        <v>45443</v>
      </c>
      <c r="K23" s="67">
        <f t="shared" ref="K23:K24" si="4">+$P$13*L36/100</f>
        <v>0</v>
      </c>
      <c r="L23" s="67">
        <f t="shared" ref="L23:L24" si="5">+$P$13*K36/100</f>
        <v>135639.50684931508</v>
      </c>
      <c r="M23" s="68">
        <f t="shared" si="3"/>
        <v>135639.50684931508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2:143" ht="12.75" customHeight="1" x14ac:dyDescent="0.2">
      <c r="I24" s="83"/>
      <c r="J24" s="66">
        <f t="shared" si="0"/>
        <v>45534</v>
      </c>
      <c r="K24" s="67">
        <f t="shared" si="4"/>
        <v>850000</v>
      </c>
      <c r="L24" s="67">
        <f t="shared" si="5"/>
        <v>134165.16438356164</v>
      </c>
      <c r="M24" s="68">
        <f t="shared" si="3"/>
        <v>984165.16438356158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2:143" ht="12.75" customHeight="1" x14ac:dyDescent="0.2">
      <c r="J25" s="69" t="s">
        <v>14</v>
      </c>
      <c r="K25" s="70">
        <f>SUM(K17:K24)</f>
        <v>2500000</v>
      </c>
      <c r="L25" s="70">
        <f>SUM(L17:L24)</f>
        <v>2381323.2602739725</v>
      </c>
      <c r="M25" s="71">
        <f>SUM(K25:L25)</f>
        <v>4881323.2602739725</v>
      </c>
      <c r="N25" s="8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2:143" x14ac:dyDescent="0.2">
      <c r="H26" s="51"/>
      <c r="I26" s="6"/>
      <c r="J26" s="6"/>
      <c r="M26" s="7"/>
      <c r="N26" s="8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2:143" ht="14.25" customHeight="1" x14ac:dyDescent="0.2">
      <c r="G27" s="101" t="s">
        <v>20</v>
      </c>
      <c r="H27" s="103" t="s">
        <v>15</v>
      </c>
      <c r="I27" s="103" t="s">
        <v>16</v>
      </c>
      <c r="J27" s="103" t="s">
        <v>24</v>
      </c>
      <c r="K27" s="105" t="s">
        <v>23</v>
      </c>
      <c r="L27" s="105" t="s">
        <v>6</v>
      </c>
      <c r="M27" s="105" t="s">
        <v>17</v>
      </c>
      <c r="N27" s="119" t="s">
        <v>7</v>
      </c>
      <c r="O27" s="121" t="s">
        <v>18</v>
      </c>
      <c r="P27" s="121" t="s">
        <v>37</v>
      </c>
      <c r="R27" s="9" t="s">
        <v>22</v>
      </c>
      <c r="S27" s="9" t="s">
        <v>8</v>
      </c>
      <c r="T27" s="9" t="s">
        <v>9</v>
      </c>
      <c r="U27" s="9" t="s">
        <v>10</v>
      </c>
      <c r="V27" s="9" t="s">
        <v>11</v>
      </c>
      <c r="W27" s="9"/>
      <c r="X27" s="23"/>
      <c r="Y27" s="14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2:143" x14ac:dyDescent="0.2">
      <c r="C28" s="1" t="s">
        <v>26</v>
      </c>
      <c r="G28" s="142"/>
      <c r="H28" s="143"/>
      <c r="I28" s="143"/>
      <c r="J28" s="143"/>
      <c r="K28" s="139"/>
      <c r="L28" s="139"/>
      <c r="M28" s="139"/>
      <c r="N28" s="140"/>
      <c r="O28" s="141"/>
      <c r="P28" s="141"/>
      <c r="R28" s="10"/>
      <c r="S28" s="11">
        <f>+L10</f>
        <v>0.79996284246444715</v>
      </c>
      <c r="X28" s="23"/>
      <c r="Y28" s="144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2:143" x14ac:dyDescent="0.2">
      <c r="B29" s="12"/>
      <c r="C29" s="85">
        <f>+H10</f>
        <v>44804</v>
      </c>
      <c r="D29" s="12"/>
      <c r="E29" s="28">
        <f>+H14</f>
        <v>44804</v>
      </c>
      <c r="F29" s="44">
        <f>+H10</f>
        <v>44804</v>
      </c>
      <c r="G29" s="90">
        <f t="shared" ref="G29:G37" si="6">+F29</f>
        <v>44804</v>
      </c>
      <c r="H29" s="91"/>
      <c r="I29" s="91"/>
      <c r="J29" s="92"/>
      <c r="K29" s="91"/>
      <c r="L29" s="91"/>
      <c r="M29" s="93">
        <v>100</v>
      </c>
      <c r="N29" s="94">
        <f>-P12*100</f>
        <v>-100</v>
      </c>
      <c r="O29" s="91">
        <f>+P13*-1</f>
        <v>-2500000</v>
      </c>
      <c r="P29" s="95"/>
      <c r="R29" s="10"/>
      <c r="S29" s="11"/>
      <c r="X29" s="23"/>
      <c r="Y29" s="144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2:143" s="12" customFormat="1" ht="12.75" customHeight="1" x14ac:dyDescent="0.2">
      <c r="B30" s="12">
        <f t="shared" ref="B30:B37" si="7">DATEDIF($C$29,C30,"m")</f>
        <v>2</v>
      </c>
      <c r="C30" s="85">
        <v>44895</v>
      </c>
      <c r="D30" s="37">
        <f>+C30-C29</f>
        <v>91</v>
      </c>
      <c r="E30" s="28">
        <f t="shared" ref="E30:E37" si="8">+G30</f>
        <v>44895</v>
      </c>
      <c r="F30" s="44">
        <f>+F29+D30</f>
        <v>44895</v>
      </c>
      <c r="G30" s="47">
        <f t="shared" si="6"/>
        <v>44895</v>
      </c>
      <c r="H30" s="48">
        <f t="shared" ref="H30:H37" si="9">+F30-F29</f>
        <v>91</v>
      </c>
      <c r="I30" s="48">
        <f t="shared" ref="I30:I37" si="10">+IF(G30-$H$14&lt;0,0,G30-$H$14)</f>
        <v>91</v>
      </c>
      <c r="J30" s="46">
        <f>+$P$14+P30</f>
        <v>0.6331</v>
      </c>
      <c r="K30" s="49">
        <f t="shared" ref="K30:K37" si="11">+J30/365*H30*M29</f>
        <v>15.78413698630137</v>
      </c>
      <c r="L30" s="50">
        <v>0</v>
      </c>
      <c r="M30" s="50">
        <f t="shared" ref="M30:M37" si="12">+M29-L30</f>
        <v>100</v>
      </c>
      <c r="N30" s="50">
        <f t="shared" ref="N30:N37" si="13">+IF(G30&gt;$H$14,K30+L30,0)</f>
        <v>15.78413698630137</v>
      </c>
      <c r="O30" s="48">
        <f t="shared" ref="O30:O37" si="14">+N30*$P$13/100</f>
        <v>394603.42465753423</v>
      </c>
      <c r="P30" s="72">
        <v>0.6331</v>
      </c>
      <c r="Q30" s="1"/>
      <c r="R30" s="16">
        <f t="shared" ref="R30:R37" si="15">I30/365</f>
        <v>0.24931506849315069</v>
      </c>
      <c r="S30" s="16">
        <f t="shared" ref="S30:S37" si="16">1/(1+$L$10)^(I30/365)</f>
        <v>0.86369211165604853</v>
      </c>
      <c r="T30" s="17">
        <f t="shared" ref="T30:T37" si="17">+N30</f>
        <v>15.78413698630137</v>
      </c>
      <c r="U30" s="17">
        <f>+T30*S30</f>
        <v>13.632634604366968</v>
      </c>
      <c r="V30" s="17">
        <f>+U30*R30</f>
        <v>3.398821230129847</v>
      </c>
      <c r="X30" s="24"/>
      <c r="Y30" s="145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</row>
    <row r="31" spans="2:143" s="12" customFormat="1" ht="12.75" customHeight="1" x14ac:dyDescent="0.2">
      <c r="B31" s="12">
        <f t="shared" si="7"/>
        <v>5</v>
      </c>
      <c r="C31" s="85">
        <v>44985</v>
      </c>
      <c r="D31" s="37">
        <f t="shared" ref="D31:D37" si="18">+C31-C30</f>
        <v>90</v>
      </c>
      <c r="E31" s="28">
        <f t="shared" si="8"/>
        <v>44985</v>
      </c>
      <c r="F31" s="44">
        <f t="shared" ref="F31:F37" si="19">+F30+D31</f>
        <v>44985</v>
      </c>
      <c r="G31" s="47">
        <f t="shared" si="6"/>
        <v>44985</v>
      </c>
      <c r="H31" s="48">
        <f t="shared" si="9"/>
        <v>90</v>
      </c>
      <c r="I31" s="48">
        <f t="shared" si="10"/>
        <v>181</v>
      </c>
      <c r="J31" s="46">
        <f t="shared" ref="J31:J37" si="20">+$P$14+P31</f>
        <v>0.6331</v>
      </c>
      <c r="K31" s="49">
        <f t="shared" si="11"/>
        <v>15.610684931506849</v>
      </c>
      <c r="L31" s="50">
        <v>0</v>
      </c>
      <c r="M31" s="50">
        <f t="shared" si="12"/>
        <v>100</v>
      </c>
      <c r="N31" s="50">
        <f t="shared" si="13"/>
        <v>15.610684931506849</v>
      </c>
      <c r="O31" s="48">
        <f t="shared" si="14"/>
        <v>390267.12328767119</v>
      </c>
      <c r="P31" s="72">
        <f>+P30</f>
        <v>0.6331</v>
      </c>
      <c r="Q31" s="1"/>
      <c r="R31" s="16">
        <f t="shared" si="15"/>
        <v>0.49589041095890413</v>
      </c>
      <c r="S31" s="16">
        <f t="shared" si="16"/>
        <v>0.74716627070507524</v>
      </c>
      <c r="T31" s="17">
        <f t="shared" si="17"/>
        <v>15.610684931506849</v>
      </c>
      <c r="U31" s="17">
        <f t="shared" ref="U31:U37" si="21">+T31*S31</f>
        <v>11.663777243425885</v>
      </c>
      <c r="V31" s="17">
        <f t="shared" ref="V31:V37" si="22">+U31*R31</f>
        <v>5.7839552905755758</v>
      </c>
      <c r="X31" s="24"/>
      <c r="Y31" s="145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</row>
    <row r="32" spans="2:143" s="12" customFormat="1" ht="12.75" customHeight="1" x14ac:dyDescent="0.2">
      <c r="B32" s="12">
        <f t="shared" si="7"/>
        <v>9</v>
      </c>
      <c r="C32" s="85">
        <v>45077</v>
      </c>
      <c r="D32" s="37">
        <f t="shared" si="18"/>
        <v>92</v>
      </c>
      <c r="E32" s="28">
        <f t="shared" si="8"/>
        <v>45077</v>
      </c>
      <c r="F32" s="44">
        <f t="shared" si="19"/>
        <v>45077</v>
      </c>
      <c r="G32" s="47">
        <f t="shared" si="6"/>
        <v>45077</v>
      </c>
      <c r="H32" s="48">
        <f t="shared" si="9"/>
        <v>92</v>
      </c>
      <c r="I32" s="48">
        <f t="shared" si="10"/>
        <v>273</v>
      </c>
      <c r="J32" s="46">
        <f t="shared" si="20"/>
        <v>0.6331</v>
      </c>
      <c r="K32" s="49">
        <f t="shared" si="11"/>
        <v>15.95758904109589</v>
      </c>
      <c r="L32" s="50">
        <v>0</v>
      </c>
      <c r="M32" s="50">
        <f t="shared" si="12"/>
        <v>100</v>
      </c>
      <c r="N32" s="50">
        <f t="shared" si="13"/>
        <v>15.95758904109589</v>
      </c>
      <c r="O32" s="48">
        <f t="shared" si="14"/>
        <v>398939.72602739721</v>
      </c>
      <c r="P32" s="72">
        <f t="shared" ref="P32:P37" si="23">+P31</f>
        <v>0.6331</v>
      </c>
      <c r="Q32" s="1"/>
      <c r="R32" s="16">
        <f t="shared" si="15"/>
        <v>0.74794520547945209</v>
      </c>
      <c r="S32" s="16">
        <f t="shared" si="16"/>
        <v>0.6442832774284365</v>
      </c>
      <c r="T32" s="17">
        <f t="shared" si="17"/>
        <v>15.95758904109589</v>
      </c>
      <c r="U32" s="17">
        <f t="shared" si="21"/>
        <v>10.281207767253361</v>
      </c>
      <c r="V32" s="17">
        <f t="shared" si="22"/>
        <v>7.6897800560552545</v>
      </c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</row>
    <row r="33" spans="2:143" s="12" customFormat="1" ht="12.75" customHeight="1" x14ac:dyDescent="0.2">
      <c r="B33" s="12">
        <f t="shared" si="7"/>
        <v>12</v>
      </c>
      <c r="C33" s="85">
        <v>45169</v>
      </c>
      <c r="D33" s="37">
        <f t="shared" si="18"/>
        <v>92</v>
      </c>
      <c r="E33" s="28">
        <f t="shared" si="8"/>
        <v>45169</v>
      </c>
      <c r="F33" s="44">
        <f t="shared" si="19"/>
        <v>45169</v>
      </c>
      <c r="G33" s="47">
        <f t="shared" si="6"/>
        <v>45169</v>
      </c>
      <c r="H33" s="48">
        <f t="shared" si="9"/>
        <v>92</v>
      </c>
      <c r="I33" s="48">
        <f t="shared" si="10"/>
        <v>365</v>
      </c>
      <c r="J33" s="46">
        <f t="shared" si="20"/>
        <v>0.6331</v>
      </c>
      <c r="K33" s="49">
        <f t="shared" si="11"/>
        <v>15.95758904109589</v>
      </c>
      <c r="L33" s="50">
        <v>33</v>
      </c>
      <c r="M33" s="50">
        <f t="shared" si="12"/>
        <v>67</v>
      </c>
      <c r="N33" s="50">
        <f t="shared" si="13"/>
        <v>48.957589041095886</v>
      </c>
      <c r="O33" s="48">
        <f t="shared" si="14"/>
        <v>1223939.7260273972</v>
      </c>
      <c r="P33" s="72">
        <f t="shared" si="23"/>
        <v>0.6331</v>
      </c>
      <c r="Q33" s="1"/>
      <c r="R33" s="16">
        <f t="shared" si="15"/>
        <v>1</v>
      </c>
      <c r="S33" s="16">
        <f t="shared" si="16"/>
        <v>0.55556702416747361</v>
      </c>
      <c r="T33" s="17">
        <f t="shared" si="17"/>
        <v>48.957589041095886</v>
      </c>
      <c r="U33" s="17">
        <f t="shared" si="21"/>
        <v>27.19922205397576</v>
      </c>
      <c r="V33" s="17">
        <f t="shared" si="22"/>
        <v>27.19922205397576</v>
      </c>
      <c r="X33" s="24"/>
      <c r="Y33" s="24"/>
      <c r="Z33" s="24"/>
      <c r="AA33" s="146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</row>
    <row r="34" spans="2:143" s="12" customFormat="1" ht="12.75" customHeight="1" x14ac:dyDescent="0.2">
      <c r="B34" s="12">
        <f t="shared" si="7"/>
        <v>14</v>
      </c>
      <c r="C34" s="85">
        <v>45260</v>
      </c>
      <c r="D34" s="37">
        <f t="shared" si="18"/>
        <v>91</v>
      </c>
      <c r="E34" s="28">
        <f t="shared" si="8"/>
        <v>45260</v>
      </c>
      <c r="F34" s="44">
        <f t="shared" si="19"/>
        <v>45260</v>
      </c>
      <c r="G34" s="47">
        <f t="shared" si="6"/>
        <v>45260</v>
      </c>
      <c r="H34" s="48">
        <f t="shared" si="9"/>
        <v>91</v>
      </c>
      <c r="I34" s="48">
        <f t="shared" si="10"/>
        <v>456</v>
      </c>
      <c r="J34" s="46">
        <f t="shared" si="20"/>
        <v>0.6331</v>
      </c>
      <c r="K34" s="49">
        <f t="shared" si="11"/>
        <v>10.575371780821918</v>
      </c>
      <c r="L34" s="50">
        <v>0</v>
      </c>
      <c r="M34" s="50">
        <f t="shared" si="12"/>
        <v>67</v>
      </c>
      <c r="N34" s="50">
        <f t="shared" si="13"/>
        <v>10.575371780821918</v>
      </c>
      <c r="O34" s="48">
        <f t="shared" si="14"/>
        <v>264384.29452054796</v>
      </c>
      <c r="P34" s="72">
        <f t="shared" si="23"/>
        <v>0.6331</v>
      </c>
      <c r="Q34" s="1"/>
      <c r="R34" s="16">
        <f t="shared" si="15"/>
        <v>1.2493150684931507</v>
      </c>
      <c r="S34" s="16">
        <f t="shared" si="16"/>
        <v>0.47983885626967215</v>
      </c>
      <c r="T34" s="17">
        <f t="shared" si="17"/>
        <v>10.575371780821918</v>
      </c>
      <c r="U34" s="17">
        <f t="shared" si="21"/>
        <v>5.0744742999361554</v>
      </c>
      <c r="V34" s="17">
        <f t="shared" si="22"/>
        <v>6.3396172075914707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</row>
    <row r="35" spans="2:143" s="12" customFormat="1" ht="12.75" customHeight="1" x14ac:dyDescent="0.2">
      <c r="B35" s="12">
        <f t="shared" si="7"/>
        <v>17</v>
      </c>
      <c r="C35" s="85">
        <v>45351</v>
      </c>
      <c r="D35" s="37">
        <f t="shared" si="18"/>
        <v>91</v>
      </c>
      <c r="E35" s="28">
        <f t="shared" si="8"/>
        <v>45351</v>
      </c>
      <c r="F35" s="44">
        <f t="shared" si="19"/>
        <v>45351</v>
      </c>
      <c r="G35" s="47">
        <f t="shared" si="6"/>
        <v>45351</v>
      </c>
      <c r="H35" s="48">
        <f t="shared" si="9"/>
        <v>91</v>
      </c>
      <c r="I35" s="48">
        <f t="shared" si="10"/>
        <v>547</v>
      </c>
      <c r="J35" s="46">
        <f t="shared" si="20"/>
        <v>0.6331</v>
      </c>
      <c r="K35" s="49">
        <f t="shared" si="11"/>
        <v>10.575371780821918</v>
      </c>
      <c r="L35" s="50">
        <v>33</v>
      </c>
      <c r="M35" s="50">
        <f t="shared" si="12"/>
        <v>34</v>
      </c>
      <c r="N35" s="50">
        <f t="shared" si="13"/>
        <v>43.575371780821918</v>
      </c>
      <c r="O35" s="48">
        <f t="shared" si="14"/>
        <v>1089384.2945205481</v>
      </c>
      <c r="P35" s="72">
        <f t="shared" si="23"/>
        <v>0.6331</v>
      </c>
      <c r="Q35" s="1"/>
      <c r="R35" s="16">
        <f t="shared" si="15"/>
        <v>1.4986301369863013</v>
      </c>
      <c r="S35" s="16">
        <f t="shared" si="16"/>
        <v>0.41443303502617629</v>
      </c>
      <c r="T35" s="17">
        <f t="shared" si="17"/>
        <v>43.575371780821918</v>
      </c>
      <c r="U35" s="17">
        <f t="shared" si="21"/>
        <v>18.059073579520025</v>
      </c>
      <c r="V35" s="17">
        <f t="shared" si="22"/>
        <v>27.06387191232179</v>
      </c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</row>
    <row r="36" spans="2:143" s="12" customFormat="1" ht="12.75" customHeight="1" x14ac:dyDescent="0.2">
      <c r="B36" s="12">
        <f t="shared" si="7"/>
        <v>21</v>
      </c>
      <c r="C36" s="85">
        <v>45443</v>
      </c>
      <c r="D36" s="37">
        <f t="shared" si="18"/>
        <v>92</v>
      </c>
      <c r="E36" s="28">
        <f t="shared" si="8"/>
        <v>45443</v>
      </c>
      <c r="F36" s="44">
        <f t="shared" si="19"/>
        <v>45443</v>
      </c>
      <c r="G36" s="47">
        <f t="shared" si="6"/>
        <v>45443</v>
      </c>
      <c r="H36" s="48">
        <f t="shared" si="9"/>
        <v>92</v>
      </c>
      <c r="I36" s="48">
        <f t="shared" si="10"/>
        <v>639</v>
      </c>
      <c r="J36" s="46">
        <f t="shared" si="20"/>
        <v>0.6331</v>
      </c>
      <c r="K36" s="49">
        <f t="shared" si="11"/>
        <v>5.4255802739726029</v>
      </c>
      <c r="L36" s="50">
        <v>0</v>
      </c>
      <c r="M36" s="50">
        <f t="shared" si="12"/>
        <v>34</v>
      </c>
      <c r="N36" s="50">
        <f t="shared" si="13"/>
        <v>5.4255802739726029</v>
      </c>
      <c r="O36" s="48">
        <f t="shared" si="14"/>
        <v>135639.50684931508</v>
      </c>
      <c r="P36" s="72">
        <f t="shared" si="23"/>
        <v>0.6331</v>
      </c>
      <c r="Q36" s="1"/>
      <c r="R36" s="16">
        <f t="shared" si="15"/>
        <v>1.7506849315068493</v>
      </c>
      <c r="S36" s="16">
        <f t="shared" si="16"/>
        <v>0.35736660573463586</v>
      </c>
      <c r="T36" s="17">
        <f t="shared" si="17"/>
        <v>5.4255802739726029</v>
      </c>
      <c r="U36" s="17">
        <f t="shared" si="21"/>
        <v>1.9389212066503847</v>
      </c>
      <c r="V36" s="17">
        <f t="shared" si="22"/>
        <v>3.3944401398619064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</row>
    <row r="37" spans="2:143" ht="12.75" customHeight="1" x14ac:dyDescent="0.2">
      <c r="B37" s="12">
        <f t="shared" si="7"/>
        <v>23</v>
      </c>
      <c r="C37" s="85">
        <v>45534</v>
      </c>
      <c r="D37" s="37">
        <f t="shared" si="18"/>
        <v>91</v>
      </c>
      <c r="E37" s="28">
        <f t="shared" si="8"/>
        <v>45534</v>
      </c>
      <c r="F37" s="44">
        <f t="shared" si="19"/>
        <v>45534</v>
      </c>
      <c r="G37" s="55">
        <f t="shared" si="6"/>
        <v>45534</v>
      </c>
      <c r="H37" s="53">
        <f t="shared" si="9"/>
        <v>91</v>
      </c>
      <c r="I37" s="53">
        <f t="shared" si="10"/>
        <v>730</v>
      </c>
      <c r="J37" s="54">
        <f t="shared" si="20"/>
        <v>0.6331</v>
      </c>
      <c r="K37" s="56">
        <f t="shared" si="11"/>
        <v>5.3666065753424661</v>
      </c>
      <c r="L37" s="57">
        <v>34</v>
      </c>
      <c r="M37" s="57">
        <f t="shared" si="12"/>
        <v>0</v>
      </c>
      <c r="N37" s="57">
        <f t="shared" si="13"/>
        <v>39.366606575342466</v>
      </c>
      <c r="O37" s="53">
        <f t="shared" si="14"/>
        <v>984165.16438356158</v>
      </c>
      <c r="P37" s="73">
        <f t="shared" si="23"/>
        <v>0.6331</v>
      </c>
      <c r="R37" s="16">
        <f t="shared" si="15"/>
        <v>2</v>
      </c>
      <c r="S37" s="16">
        <f t="shared" si="16"/>
        <v>0.30865471834230224</v>
      </c>
      <c r="T37" s="17">
        <f t="shared" si="17"/>
        <v>39.366606575342466</v>
      </c>
      <c r="U37" s="17">
        <f t="shared" si="21"/>
        <v>12.150688864604552</v>
      </c>
      <c r="V37" s="17">
        <f t="shared" si="22"/>
        <v>24.301377729209104</v>
      </c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</row>
    <row r="38" spans="2:143" ht="12.75" customHeight="1" x14ac:dyDescent="0.2">
      <c r="B38" s="12"/>
      <c r="C38" s="85"/>
      <c r="D38" s="37"/>
      <c r="E38" s="28"/>
      <c r="F38" s="44"/>
      <c r="G38" s="86"/>
      <c r="H38" s="48"/>
      <c r="I38" s="48"/>
      <c r="J38" s="46"/>
      <c r="K38" s="13"/>
      <c r="L38" s="87"/>
      <c r="M38" s="15"/>
      <c r="N38" s="15"/>
      <c r="O38" s="88"/>
      <c r="P38" s="5"/>
      <c r="R38" s="1"/>
      <c r="S38" s="1"/>
      <c r="T38" s="1"/>
      <c r="U38" s="1"/>
      <c r="V38" s="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</row>
    <row r="39" spans="2:143" ht="12.75" customHeight="1" x14ac:dyDescent="0.2">
      <c r="B39" s="12"/>
      <c r="C39" s="85"/>
      <c r="D39" s="37"/>
      <c r="E39" s="28"/>
      <c r="F39" s="44"/>
      <c r="G39" s="86"/>
      <c r="H39" s="48"/>
      <c r="I39" s="48"/>
      <c r="J39" s="46"/>
      <c r="K39" s="13"/>
      <c r="L39" s="89">
        <f>SUM(L30:L37)</f>
        <v>100</v>
      </c>
      <c r="M39" s="15"/>
      <c r="N39" s="15"/>
      <c r="O39" s="96">
        <f>SUM(O29:O37)</f>
        <v>2381323.2602739725</v>
      </c>
      <c r="R39" s="1"/>
      <c r="S39" s="1"/>
      <c r="T39" s="1"/>
      <c r="U39" s="1"/>
      <c r="V39" s="1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</row>
    <row r="40" spans="2:143" x14ac:dyDescent="0.2">
      <c r="R40" s="19"/>
      <c r="S40" s="19"/>
      <c r="T40" s="17"/>
      <c r="U40" s="17">
        <f>SUM(U30:U37)</f>
        <v>99.999999619733089</v>
      </c>
      <c r="V40" s="17">
        <f>SUM(V30:V37)</f>
        <v>105.1710856197207</v>
      </c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</row>
    <row r="41" spans="2:143" x14ac:dyDescent="0.2"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</row>
    <row r="42" spans="2:143" x14ac:dyDescent="0.2">
      <c r="R42" s="1"/>
      <c r="S42" s="1"/>
      <c r="T42" s="1"/>
      <c r="U42" s="1"/>
      <c r="V42" s="1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</row>
    <row r="43" spans="2:143" x14ac:dyDescent="0.2">
      <c r="R43" s="1"/>
      <c r="S43" s="1"/>
      <c r="T43" s="1"/>
      <c r="U43" s="1"/>
      <c r="V43" s="1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</row>
    <row r="44" spans="2:143" x14ac:dyDescent="0.2">
      <c r="R44" s="1"/>
      <c r="S44" s="1"/>
      <c r="T44" s="1"/>
      <c r="U44" s="1"/>
      <c r="V44" s="1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</row>
    <row r="45" spans="2:143" x14ac:dyDescent="0.2">
      <c r="R45" s="1"/>
      <c r="S45" s="1"/>
      <c r="T45" s="1"/>
      <c r="U45" s="1"/>
      <c r="V45" s="1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</row>
    <row r="46" spans="2:143" ht="9.75" customHeight="1" x14ac:dyDescent="0.2">
      <c r="R46" s="1"/>
      <c r="S46" s="1"/>
      <c r="T46" s="1"/>
      <c r="U46" s="1"/>
      <c r="V46" s="1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</row>
    <row r="47" spans="2:143" x14ac:dyDescent="0.2">
      <c r="R47" s="1"/>
      <c r="S47" s="1"/>
      <c r="T47" s="1"/>
      <c r="U47" s="1"/>
      <c r="V47" s="1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</row>
    <row r="48" spans="2:143" x14ac:dyDescent="0.2">
      <c r="R48" s="1"/>
      <c r="S48" s="1"/>
      <c r="T48" s="1"/>
      <c r="U48" s="1"/>
      <c r="V48" s="1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</row>
    <row r="49" spans="8:143" x14ac:dyDescent="0.2">
      <c r="R49" s="1"/>
      <c r="S49" s="1"/>
      <c r="T49" s="1"/>
      <c r="U49" s="1"/>
      <c r="V49" s="1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</row>
    <row r="50" spans="8:143" hidden="1" x14ac:dyDescent="0.2">
      <c r="H50" s="59"/>
      <c r="I50" s="59" t="s">
        <v>29</v>
      </c>
      <c r="J50" s="59"/>
      <c r="K50" s="59" t="s">
        <v>30</v>
      </c>
      <c r="R50" s="1"/>
      <c r="S50" s="1"/>
      <c r="T50" s="1"/>
      <c r="U50" s="1"/>
      <c r="V50" s="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</row>
    <row r="51" spans="8:143" hidden="1" x14ac:dyDescent="0.2">
      <c r="H51" s="59">
        <v>1</v>
      </c>
      <c r="I51" s="59"/>
      <c r="J51" s="59"/>
      <c r="K51" s="59"/>
      <c r="R51" s="1"/>
      <c r="S51" s="1"/>
      <c r="T51" s="1"/>
      <c r="U51" s="1"/>
      <c r="V51" s="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</row>
    <row r="52" spans="8:143" hidden="1" x14ac:dyDescent="0.2">
      <c r="H52" s="59">
        <v>2</v>
      </c>
      <c r="I52" s="59"/>
      <c r="J52" s="59"/>
      <c r="K52" s="59"/>
      <c r="R52" s="1"/>
      <c r="S52" s="1"/>
      <c r="T52" s="1"/>
      <c r="U52" s="1"/>
      <c r="V52" s="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</row>
    <row r="53" spans="8:143" hidden="1" x14ac:dyDescent="0.2">
      <c r="H53" s="59">
        <v>3</v>
      </c>
      <c r="I53" s="59">
        <v>1</v>
      </c>
      <c r="J53" s="59"/>
      <c r="K53" s="59"/>
      <c r="R53" s="1"/>
      <c r="S53" s="1"/>
      <c r="T53" s="1"/>
      <c r="U53" s="1"/>
      <c r="V53" s="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</row>
    <row r="54" spans="8:143" hidden="1" x14ac:dyDescent="0.2">
      <c r="H54" s="59">
        <v>4</v>
      </c>
      <c r="I54" s="59"/>
      <c r="J54" s="59"/>
      <c r="K54" s="59"/>
      <c r="R54" s="1"/>
      <c r="S54" s="1"/>
      <c r="T54" s="1"/>
      <c r="U54" s="1"/>
      <c r="V54" s="1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</row>
    <row r="55" spans="8:143" hidden="1" x14ac:dyDescent="0.2">
      <c r="H55" s="59">
        <v>5</v>
      </c>
      <c r="I55" s="59"/>
      <c r="J55" s="59"/>
      <c r="K55" s="59"/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8:143" hidden="1" x14ac:dyDescent="0.2">
      <c r="H56" s="59">
        <v>6</v>
      </c>
      <c r="I56" s="59">
        <v>2</v>
      </c>
      <c r="J56" s="59">
        <v>1</v>
      </c>
      <c r="K56" s="59"/>
      <c r="R56" s="1"/>
      <c r="S56" s="1"/>
      <c r="T56" s="1"/>
      <c r="U56" s="1"/>
      <c r="V56" s="1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8:143" hidden="1" x14ac:dyDescent="0.2">
      <c r="H57" s="59">
        <v>7</v>
      </c>
      <c r="I57" s="59"/>
      <c r="J57" s="59"/>
      <c r="K57" s="59"/>
      <c r="R57" s="1"/>
      <c r="S57" s="1"/>
      <c r="T57" s="1"/>
      <c r="U57" s="1"/>
      <c r="V57" s="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8:143" hidden="1" x14ac:dyDescent="0.2">
      <c r="H58" s="59">
        <v>8</v>
      </c>
      <c r="I58" s="59"/>
      <c r="J58" s="59"/>
      <c r="K58" s="59"/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8:143" hidden="1" x14ac:dyDescent="0.2">
      <c r="H59" s="59">
        <v>9</v>
      </c>
      <c r="I59" s="59">
        <v>3</v>
      </c>
      <c r="J59" s="59"/>
      <c r="K59" s="59"/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8:143" hidden="1" x14ac:dyDescent="0.2">
      <c r="H60" s="59">
        <v>10</v>
      </c>
      <c r="I60" s="59"/>
      <c r="J60" s="59"/>
      <c r="K60" s="59"/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8:143" hidden="1" x14ac:dyDescent="0.2">
      <c r="H61" s="59">
        <v>11</v>
      </c>
      <c r="I61" s="59"/>
      <c r="J61" s="59"/>
      <c r="K61" s="59"/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8:143" hidden="1" x14ac:dyDescent="0.2">
      <c r="H62" s="59">
        <v>12</v>
      </c>
      <c r="I62" s="59">
        <v>4</v>
      </c>
      <c r="J62" s="59">
        <v>2</v>
      </c>
      <c r="K62" s="59"/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8:143" hidden="1" x14ac:dyDescent="0.2">
      <c r="H63" s="59">
        <v>13</v>
      </c>
      <c r="I63" s="59"/>
      <c r="J63" s="59"/>
      <c r="K63" s="59"/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8:143" hidden="1" x14ac:dyDescent="0.2">
      <c r="H64" s="59">
        <v>14</v>
      </c>
      <c r="I64" s="59"/>
      <c r="J64" s="59"/>
      <c r="K64" s="59"/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hidden="1" x14ac:dyDescent="0.2">
      <c r="H65" s="59">
        <v>15</v>
      </c>
      <c r="I65" s="59">
        <v>5</v>
      </c>
      <c r="J65" s="59"/>
      <c r="K65" s="59"/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>
        <v>16</v>
      </c>
      <c r="I66" s="59"/>
      <c r="J66" s="59"/>
      <c r="K66" s="59"/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17</v>
      </c>
      <c r="I67" s="59"/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18</v>
      </c>
      <c r="I68" s="59">
        <v>6</v>
      </c>
      <c r="J68" s="59">
        <v>3</v>
      </c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19</v>
      </c>
      <c r="I69" s="59"/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20</v>
      </c>
      <c r="I70" s="59"/>
      <c r="J70" s="59"/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21</v>
      </c>
      <c r="I71" s="59">
        <v>7</v>
      </c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22</v>
      </c>
      <c r="I72" s="59"/>
      <c r="J72" s="59"/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23</v>
      </c>
      <c r="I73" s="59"/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24</v>
      </c>
      <c r="I74" s="59">
        <v>8</v>
      </c>
      <c r="J74" s="59">
        <v>4</v>
      </c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25</v>
      </c>
      <c r="I75" s="59"/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26</v>
      </c>
      <c r="I76" s="59"/>
      <c r="J76" s="59"/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27</v>
      </c>
      <c r="I77" s="59">
        <v>9</v>
      </c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28</v>
      </c>
      <c r="I78" s="59"/>
      <c r="J78" s="59"/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29</v>
      </c>
      <c r="I79" s="59"/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30</v>
      </c>
      <c r="I80" s="59">
        <v>10</v>
      </c>
      <c r="J80" s="59">
        <v>5</v>
      </c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31</v>
      </c>
      <c r="I81" s="59"/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32</v>
      </c>
      <c r="I82" s="59"/>
      <c r="J82" s="59"/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33</v>
      </c>
      <c r="I83" s="59">
        <v>11</v>
      </c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34</v>
      </c>
      <c r="I84" s="59"/>
      <c r="J84" s="59"/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35</v>
      </c>
      <c r="I85" s="59"/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36</v>
      </c>
      <c r="I86" s="59">
        <v>12</v>
      </c>
      <c r="J86" s="59">
        <v>6</v>
      </c>
      <c r="K86" s="59">
        <v>1</v>
      </c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37</v>
      </c>
      <c r="I87" s="59"/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38</v>
      </c>
      <c r="I88" s="59"/>
      <c r="J88" s="59"/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39</v>
      </c>
      <c r="I89" s="59">
        <v>13</v>
      </c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40</v>
      </c>
      <c r="I90" s="59"/>
      <c r="J90" s="59"/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41</v>
      </c>
      <c r="I91" s="59"/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42</v>
      </c>
      <c r="I92" s="59">
        <v>14</v>
      </c>
      <c r="J92" s="59">
        <v>7</v>
      </c>
      <c r="K92" s="59">
        <v>2</v>
      </c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43</v>
      </c>
      <c r="I93" s="59"/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44</v>
      </c>
      <c r="I94" s="59"/>
      <c r="J94" s="59"/>
      <c r="K94" s="59"/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45</v>
      </c>
      <c r="I95" s="59">
        <v>15</v>
      </c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46</v>
      </c>
      <c r="I96" s="59"/>
      <c r="J96" s="59"/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47</v>
      </c>
      <c r="I97" s="59"/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48</v>
      </c>
      <c r="I98" s="59">
        <v>16</v>
      </c>
      <c r="J98" s="59">
        <v>8</v>
      </c>
      <c r="K98" s="59">
        <v>3</v>
      </c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49</v>
      </c>
      <c r="I99" s="59"/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50</v>
      </c>
      <c r="I100" s="59"/>
      <c r="J100" s="59"/>
      <c r="K100" s="59"/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51</v>
      </c>
      <c r="I101" s="59">
        <v>17</v>
      </c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52</v>
      </c>
      <c r="I102" s="59"/>
      <c r="J102" s="59"/>
      <c r="K102" s="59"/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53</v>
      </c>
      <c r="I103" s="59"/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54</v>
      </c>
      <c r="I104" s="59">
        <v>18</v>
      </c>
      <c r="J104" s="59">
        <v>9</v>
      </c>
      <c r="K104" s="59">
        <v>4</v>
      </c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55</v>
      </c>
      <c r="I105" s="59"/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56</v>
      </c>
      <c r="I106" s="59"/>
      <c r="J106" s="59"/>
      <c r="K106" s="59"/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57</v>
      </c>
      <c r="I107" s="59">
        <v>19</v>
      </c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58</v>
      </c>
      <c r="I108" s="59"/>
      <c r="J108" s="59"/>
      <c r="K108" s="59"/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59</v>
      </c>
      <c r="I109" s="59"/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60</v>
      </c>
      <c r="I110" s="59">
        <v>20</v>
      </c>
      <c r="J110" s="59">
        <v>10</v>
      </c>
      <c r="K110" s="59">
        <v>5</v>
      </c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18:143" x14ac:dyDescent="0.2"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18:143" x14ac:dyDescent="0.2"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18:143" x14ac:dyDescent="0.2"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18:143" x14ac:dyDescent="0.2"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18:143" x14ac:dyDescent="0.2"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18:143" x14ac:dyDescent="0.2"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18:143" x14ac:dyDescent="0.2"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18:143" x14ac:dyDescent="0.2"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18:143" x14ac:dyDescent="0.2"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18:143" x14ac:dyDescent="0.2"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18:143" x14ac:dyDescent="0.2"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18:143" x14ac:dyDescent="0.2"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18:143" x14ac:dyDescent="0.2"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18:143" x14ac:dyDescent="0.2"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18:143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18:143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</sheetData>
  <sheetProtection selectLockedCells="1"/>
  <mergeCells count="36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M27:M28"/>
    <mergeCell ref="N27:N28"/>
    <mergeCell ref="O27:O28"/>
    <mergeCell ref="P27:P28"/>
    <mergeCell ref="G27:G28"/>
    <mergeCell ref="H27:H28"/>
    <mergeCell ref="I27:I28"/>
    <mergeCell ref="J27:J28"/>
    <mergeCell ref="K27:K28"/>
    <mergeCell ref="L27:L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4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30" t="s">
        <v>12</v>
      </c>
      <c r="C1" s="30" t="s">
        <v>25</v>
      </c>
    </row>
    <row r="2" spans="2:6" ht="14.25" x14ac:dyDescent="0.2">
      <c r="B2" s="31">
        <v>43167</v>
      </c>
      <c r="C2" s="32">
        <v>23.4375</v>
      </c>
      <c r="E2" s="36" t="s">
        <v>27</v>
      </c>
      <c r="F2">
        <f ca="1">+AVERAGE(OFFSET(C1,COUNT(C:C),0,-5))</f>
        <v>38.4375</v>
      </c>
    </row>
    <row r="3" spans="2:6" ht="14.25" x14ac:dyDescent="0.2">
      <c r="B3" s="33">
        <v>43168</v>
      </c>
      <c r="C3" s="32">
        <v>23.125</v>
      </c>
    </row>
    <row r="4" spans="2:6" ht="14.25" x14ac:dyDescent="0.2">
      <c r="B4" s="31">
        <v>43171</v>
      </c>
      <c r="C4" s="34">
        <v>23.0625</v>
      </c>
    </row>
    <row r="5" spans="2:6" ht="14.25" x14ac:dyDescent="0.2">
      <c r="B5" s="33">
        <v>43172</v>
      </c>
      <c r="C5" s="32">
        <v>23.4375</v>
      </c>
    </row>
    <row r="6" spans="2:6" ht="14.25" x14ac:dyDescent="0.2">
      <c r="B6" s="31">
        <v>43173</v>
      </c>
      <c r="C6" s="34">
        <v>24.25</v>
      </c>
    </row>
    <row r="7" spans="2:6" ht="14.25" x14ac:dyDescent="0.2">
      <c r="B7" s="33">
        <v>43174</v>
      </c>
      <c r="C7" s="32">
        <v>21.9375</v>
      </c>
    </row>
    <row r="8" spans="2:6" ht="14.25" x14ac:dyDescent="0.2">
      <c r="B8" s="31">
        <v>43175</v>
      </c>
      <c r="C8" s="34">
        <v>23.3125</v>
      </c>
    </row>
    <row r="9" spans="2:6" ht="14.25" x14ac:dyDescent="0.2">
      <c r="B9" s="33">
        <v>43178</v>
      </c>
      <c r="C9" s="32">
        <v>23.6875</v>
      </c>
    </row>
    <row r="10" spans="2:6" ht="14.25" x14ac:dyDescent="0.2">
      <c r="B10" s="31">
        <v>43179</v>
      </c>
      <c r="C10" s="34">
        <v>23.75</v>
      </c>
    </row>
    <row r="11" spans="2:6" ht="14.25" x14ac:dyDescent="0.2">
      <c r="B11" s="33">
        <v>43180</v>
      </c>
      <c r="C11" s="32">
        <v>24</v>
      </c>
    </row>
    <row r="12" spans="2:6" ht="14.25" x14ac:dyDescent="0.2">
      <c r="B12" s="31">
        <v>43181</v>
      </c>
      <c r="C12" s="34">
        <v>23.6875</v>
      </c>
    </row>
    <row r="13" spans="2:6" ht="14.25" x14ac:dyDescent="0.2">
      <c r="B13" s="33">
        <v>43182</v>
      </c>
      <c r="C13" s="32">
        <v>23.125</v>
      </c>
    </row>
    <row r="14" spans="2:6" ht="14.25" x14ac:dyDescent="0.2">
      <c r="B14" s="31">
        <v>43185</v>
      </c>
      <c r="C14" s="34">
        <v>23.5</v>
      </c>
    </row>
    <row r="15" spans="2:6" ht="14.25" x14ac:dyDescent="0.2">
      <c r="B15" s="33">
        <v>43186</v>
      </c>
      <c r="C15" s="32">
        <v>23.25</v>
      </c>
    </row>
    <row r="16" spans="2:6" ht="14.25" x14ac:dyDescent="0.2">
      <c r="B16" s="31">
        <v>43187</v>
      </c>
      <c r="C16" s="34">
        <v>22.5625</v>
      </c>
    </row>
    <row r="17" spans="2:3" ht="14.25" x14ac:dyDescent="0.2">
      <c r="B17" s="33">
        <v>43193</v>
      </c>
      <c r="C17" s="32">
        <v>23.4375</v>
      </c>
    </row>
    <row r="18" spans="2:3" ht="14.25" x14ac:dyDescent="0.2">
      <c r="B18" s="31">
        <v>43194</v>
      </c>
      <c r="C18" s="34">
        <v>23.4375</v>
      </c>
    </row>
    <row r="19" spans="2:3" ht="14.25" x14ac:dyDescent="0.2">
      <c r="B19" s="33">
        <v>43195</v>
      </c>
      <c r="C19" s="32">
        <v>23.625</v>
      </c>
    </row>
    <row r="20" spans="2:3" ht="14.25" x14ac:dyDescent="0.2">
      <c r="B20" s="31">
        <v>43196</v>
      </c>
      <c r="C20" s="34">
        <v>22.375</v>
      </c>
    </row>
    <row r="21" spans="2:3" ht="14.25" x14ac:dyDescent="0.2">
      <c r="B21" s="33">
        <v>43199</v>
      </c>
      <c r="C21" s="32">
        <v>23.375</v>
      </c>
    </row>
    <row r="22" spans="2:3" ht="14.25" x14ac:dyDescent="0.2">
      <c r="B22" s="31">
        <v>43200</v>
      </c>
      <c r="C22" s="34">
        <v>23.875</v>
      </c>
    </row>
    <row r="23" spans="2:3" ht="14.25" x14ac:dyDescent="0.2">
      <c r="B23" s="33">
        <v>43201</v>
      </c>
      <c r="C23" s="32">
        <v>22.75</v>
      </c>
    </row>
    <row r="24" spans="2:3" ht="14.25" x14ac:dyDescent="0.2">
      <c r="B24" s="31">
        <v>43202</v>
      </c>
      <c r="C24" s="34">
        <v>23.3125</v>
      </c>
    </row>
    <row r="25" spans="2:3" ht="14.25" x14ac:dyDescent="0.2">
      <c r="B25" s="33">
        <v>43203</v>
      </c>
      <c r="C25" s="32">
        <v>23.75</v>
      </c>
    </row>
    <row r="26" spans="2:3" ht="14.25" x14ac:dyDescent="0.2">
      <c r="B26" s="31">
        <v>43206</v>
      </c>
      <c r="C26" s="34">
        <v>23.375</v>
      </c>
    </row>
    <row r="27" spans="2:3" ht="14.25" x14ac:dyDescent="0.2">
      <c r="B27" s="33">
        <v>43207</v>
      </c>
      <c r="C27" s="32">
        <v>23.9375</v>
      </c>
    </row>
    <row r="28" spans="2:3" ht="14.25" x14ac:dyDescent="0.2">
      <c r="B28" s="31">
        <v>43208</v>
      </c>
      <c r="C28" s="34">
        <v>23.4375</v>
      </c>
    </row>
    <row r="29" spans="2:3" ht="14.25" x14ac:dyDescent="0.2">
      <c r="B29" s="33">
        <v>43209</v>
      </c>
      <c r="C29" s="32">
        <v>23.375</v>
      </c>
    </row>
    <row r="30" spans="2:3" ht="14.25" x14ac:dyDescent="0.2">
      <c r="B30" s="31">
        <v>43210</v>
      </c>
      <c r="C30" s="34">
        <v>23.625</v>
      </c>
    </row>
    <row r="31" spans="2:3" ht="14.25" x14ac:dyDescent="0.2">
      <c r="B31" s="33">
        <v>43213</v>
      </c>
      <c r="C31" s="32">
        <v>23.4375</v>
      </c>
    </row>
    <row r="32" spans="2:3" ht="14.25" x14ac:dyDescent="0.2">
      <c r="B32" s="31">
        <v>43214</v>
      </c>
      <c r="C32" s="34">
        <v>23.8125</v>
      </c>
    </row>
    <row r="33" spans="2:3" ht="14.25" x14ac:dyDescent="0.2">
      <c r="B33" s="33">
        <v>43215</v>
      </c>
      <c r="C33" s="32">
        <v>23.6875</v>
      </c>
    </row>
    <row r="34" spans="2:3" ht="14.25" x14ac:dyDescent="0.2">
      <c r="B34" s="31">
        <v>43216</v>
      </c>
      <c r="C34" s="34">
        <v>22.875</v>
      </c>
    </row>
    <row r="35" spans="2:3" ht="14.25" x14ac:dyDescent="0.2">
      <c r="B35" s="33">
        <v>43217</v>
      </c>
      <c r="C35" s="32">
        <v>23.0625</v>
      </c>
    </row>
    <row r="36" spans="2:3" ht="14.25" x14ac:dyDescent="0.2">
      <c r="B36" s="31">
        <v>43222</v>
      </c>
      <c r="C36" s="34">
        <v>24.625</v>
      </c>
    </row>
    <row r="37" spans="2:3" ht="14.25" x14ac:dyDescent="0.2">
      <c r="B37" s="33">
        <v>43223</v>
      </c>
      <c r="C37" s="32">
        <v>24.9375</v>
      </c>
    </row>
    <row r="38" spans="2:3" ht="14.25" x14ac:dyDescent="0.2">
      <c r="B38" s="31">
        <v>43224</v>
      </c>
      <c r="C38" s="34">
        <v>27.6875</v>
      </c>
    </row>
    <row r="39" spans="2:3" ht="14.25" x14ac:dyDescent="0.2">
      <c r="B39" s="33">
        <v>43227</v>
      </c>
      <c r="C39" s="32">
        <v>26.75</v>
      </c>
    </row>
    <row r="40" spans="2:3" ht="14.25" x14ac:dyDescent="0.2">
      <c r="B40" s="31">
        <v>43228</v>
      </c>
      <c r="C40" s="34">
        <v>30.375</v>
      </c>
    </row>
    <row r="41" spans="2:3" ht="14.25" x14ac:dyDescent="0.2">
      <c r="B41" s="33">
        <v>43229</v>
      </c>
      <c r="C41" s="32">
        <v>30.5625</v>
      </c>
    </row>
    <row r="42" spans="2:3" ht="14.25" x14ac:dyDescent="0.2">
      <c r="B42" s="31">
        <v>43230</v>
      </c>
      <c r="C42" s="34">
        <v>31.75</v>
      </c>
    </row>
    <row r="43" spans="2:3" ht="14.25" x14ac:dyDescent="0.2">
      <c r="B43" s="33">
        <v>43231</v>
      </c>
      <c r="C43" s="32">
        <v>30.625</v>
      </c>
    </row>
    <row r="44" spans="2:3" ht="14.25" x14ac:dyDescent="0.2">
      <c r="B44" s="31">
        <v>43234</v>
      </c>
      <c r="C44" s="34">
        <v>29.25</v>
      </c>
    </row>
    <row r="45" spans="2:3" ht="14.25" x14ac:dyDescent="0.2">
      <c r="B45" s="33">
        <v>43235</v>
      </c>
      <c r="C45" s="32">
        <v>33.875</v>
      </c>
    </row>
    <row r="46" spans="2:3" ht="14.25" x14ac:dyDescent="0.2">
      <c r="B46" s="31">
        <v>43236</v>
      </c>
      <c r="C46" s="34">
        <v>31.0625</v>
      </c>
    </row>
    <row r="47" spans="2:3" ht="14.25" x14ac:dyDescent="0.2">
      <c r="B47" s="33">
        <v>43237</v>
      </c>
      <c r="C47" s="32">
        <v>31.6875</v>
      </c>
    </row>
    <row r="48" spans="2:3" ht="14.25" x14ac:dyDescent="0.2">
      <c r="B48" s="31">
        <v>43238</v>
      </c>
      <c r="C48" s="34">
        <v>31.0625</v>
      </c>
    </row>
    <row r="49" spans="2:3" ht="14.25" x14ac:dyDescent="0.2">
      <c r="B49" s="33">
        <v>43241</v>
      </c>
      <c r="C49" s="32">
        <v>30.625</v>
      </c>
    </row>
    <row r="50" spans="2:3" ht="14.25" x14ac:dyDescent="0.2">
      <c r="B50" s="31">
        <v>43242</v>
      </c>
      <c r="C50" s="34">
        <v>31.1875</v>
      </c>
    </row>
    <row r="51" spans="2:3" ht="14.25" x14ac:dyDescent="0.2">
      <c r="B51" s="33">
        <v>43243</v>
      </c>
      <c r="C51" s="32">
        <v>29.125</v>
      </c>
    </row>
    <row r="52" spans="2:3" ht="14.25" x14ac:dyDescent="0.2">
      <c r="B52" s="31">
        <v>43244</v>
      </c>
      <c r="C52" s="34">
        <v>29.3125</v>
      </c>
    </row>
    <row r="53" spans="2:3" ht="14.25" x14ac:dyDescent="0.2">
      <c r="B53" s="33">
        <v>43248</v>
      </c>
      <c r="C53" s="32">
        <v>29.125</v>
      </c>
    </row>
    <row r="54" spans="2:3" ht="14.25" x14ac:dyDescent="0.2">
      <c r="B54" s="31">
        <v>43249</v>
      </c>
      <c r="C54" s="34">
        <v>31.1875</v>
      </c>
    </row>
    <row r="55" spans="2:3" ht="14.25" x14ac:dyDescent="0.2">
      <c r="B55" s="33">
        <v>43250</v>
      </c>
      <c r="C55" s="32">
        <v>31</v>
      </c>
    </row>
    <row r="56" spans="2:3" ht="14.25" x14ac:dyDescent="0.2">
      <c r="B56" s="31">
        <v>43251</v>
      </c>
      <c r="C56" s="34">
        <v>31.125</v>
      </c>
    </row>
    <row r="57" spans="2:3" ht="14.25" x14ac:dyDescent="0.2">
      <c r="B57" s="33">
        <v>43252</v>
      </c>
      <c r="C57" s="32">
        <v>30.9375</v>
      </c>
    </row>
    <row r="58" spans="2:3" ht="14.25" x14ac:dyDescent="0.2">
      <c r="B58" s="31">
        <v>43255</v>
      </c>
      <c r="C58" s="34">
        <v>30.6875</v>
      </c>
    </row>
    <row r="59" spans="2:3" ht="14.25" x14ac:dyDescent="0.2">
      <c r="B59" s="33">
        <v>43256</v>
      </c>
      <c r="C59" s="32">
        <v>31.1875</v>
      </c>
    </row>
    <row r="60" spans="2:3" ht="14.25" x14ac:dyDescent="0.2">
      <c r="B60" s="31">
        <v>43257</v>
      </c>
      <c r="C60" s="34">
        <v>30.6875</v>
      </c>
    </row>
    <row r="61" spans="2:3" ht="14.25" x14ac:dyDescent="0.2">
      <c r="B61" s="33">
        <v>43258</v>
      </c>
      <c r="C61" s="32">
        <v>30</v>
      </c>
    </row>
    <row r="62" spans="2:3" ht="14.25" x14ac:dyDescent="0.2">
      <c r="B62" s="31">
        <v>43259</v>
      </c>
      <c r="C62" s="34">
        <v>31.0625</v>
      </c>
    </row>
    <row r="63" spans="2:3" ht="14.25" x14ac:dyDescent="0.2">
      <c r="B63" s="33">
        <v>43262</v>
      </c>
      <c r="C63" s="32">
        <v>30.5625</v>
      </c>
    </row>
    <row r="64" spans="2:3" ht="14.25" x14ac:dyDescent="0.2">
      <c r="B64" s="31">
        <v>43263</v>
      </c>
      <c r="C64" s="34">
        <v>32.3125</v>
      </c>
    </row>
    <row r="65" spans="2:3" ht="14.25" x14ac:dyDescent="0.2">
      <c r="B65" s="33">
        <v>43264</v>
      </c>
      <c r="C65" s="32">
        <v>31.1875</v>
      </c>
    </row>
    <row r="66" spans="2:3" ht="14.25" x14ac:dyDescent="0.2">
      <c r="B66" s="31">
        <v>43265</v>
      </c>
      <c r="C66" s="34">
        <v>31.6875</v>
      </c>
    </row>
    <row r="67" spans="2:3" ht="14.25" x14ac:dyDescent="0.2">
      <c r="B67" s="33">
        <v>43266</v>
      </c>
      <c r="C67" s="32">
        <v>31.0625</v>
      </c>
    </row>
    <row r="68" spans="2:3" ht="14.25" x14ac:dyDescent="0.2">
      <c r="B68" s="31">
        <v>43269</v>
      </c>
      <c r="C68" s="34">
        <v>32.5625</v>
      </c>
    </row>
    <row r="69" spans="2:3" ht="14.25" x14ac:dyDescent="0.2">
      <c r="B69" s="33">
        <v>43270</v>
      </c>
      <c r="C69" s="32">
        <v>34.0625</v>
      </c>
    </row>
    <row r="70" spans="2:3" ht="14.25" x14ac:dyDescent="0.2">
      <c r="B70" s="31">
        <v>43272</v>
      </c>
      <c r="C70" s="34">
        <v>33.5</v>
      </c>
    </row>
    <row r="71" spans="2:3" ht="14.25" x14ac:dyDescent="0.2">
      <c r="B71" s="33">
        <v>43273</v>
      </c>
      <c r="C71" s="32">
        <v>33.125</v>
      </c>
    </row>
    <row r="72" spans="2:3" ht="14.25" x14ac:dyDescent="0.2">
      <c r="B72" s="31">
        <v>43276</v>
      </c>
      <c r="C72" s="34">
        <v>34.5</v>
      </c>
    </row>
    <row r="73" spans="2:3" ht="14.25" x14ac:dyDescent="0.2">
      <c r="B73" s="33">
        <v>43277</v>
      </c>
      <c r="C73" s="32">
        <v>33.9375</v>
      </c>
    </row>
    <row r="74" spans="2:3" ht="14.25" x14ac:dyDescent="0.2">
      <c r="B74" s="31">
        <v>43278</v>
      </c>
      <c r="C74" s="34">
        <v>33.375</v>
      </c>
    </row>
    <row r="75" spans="2:3" ht="14.25" x14ac:dyDescent="0.2">
      <c r="B75" s="33">
        <v>43279</v>
      </c>
      <c r="C75" s="32">
        <v>34.3125</v>
      </c>
    </row>
    <row r="76" spans="2:3" ht="14.25" x14ac:dyDescent="0.2">
      <c r="B76" s="31">
        <v>43280</v>
      </c>
      <c r="C76" s="34">
        <v>33.875</v>
      </c>
    </row>
    <row r="77" spans="2:3" ht="14.25" x14ac:dyDescent="0.2">
      <c r="B77" s="33">
        <v>43283</v>
      </c>
      <c r="C77" s="32">
        <v>34.75</v>
      </c>
    </row>
    <row r="78" spans="2:3" ht="14.25" x14ac:dyDescent="0.2">
      <c r="B78" s="31">
        <v>43284</v>
      </c>
      <c r="C78" s="34">
        <v>35.625</v>
      </c>
    </row>
    <row r="79" spans="2:3" ht="14.25" x14ac:dyDescent="0.2">
      <c r="B79" s="33">
        <v>43285</v>
      </c>
      <c r="C79" s="32">
        <v>34.9375</v>
      </c>
    </row>
    <row r="80" spans="2:3" ht="14.25" x14ac:dyDescent="0.2">
      <c r="B80" s="31">
        <v>43286</v>
      </c>
      <c r="C80" s="34">
        <v>35.9375</v>
      </c>
    </row>
    <row r="81" spans="2:3" ht="14.25" x14ac:dyDescent="0.2">
      <c r="B81" s="33">
        <v>43287</v>
      </c>
      <c r="C81" s="32">
        <v>35.0625</v>
      </c>
    </row>
    <row r="82" spans="2:3" ht="14.25" x14ac:dyDescent="0.2">
      <c r="B82" s="31">
        <v>43291</v>
      </c>
      <c r="C82" s="34">
        <v>33.75</v>
      </c>
    </row>
    <row r="83" spans="2:3" ht="14.25" x14ac:dyDescent="0.2">
      <c r="B83" s="33">
        <v>43292</v>
      </c>
      <c r="C83" s="32">
        <v>34.1875</v>
      </c>
    </row>
    <row r="84" spans="2:3" ht="14.25" x14ac:dyDescent="0.2">
      <c r="B84" s="31">
        <v>43293</v>
      </c>
      <c r="C84" s="34">
        <v>35.375</v>
      </c>
    </row>
    <row r="85" spans="2:3" ht="14.25" x14ac:dyDescent="0.2">
      <c r="B85" s="33">
        <v>43294</v>
      </c>
      <c r="C85" s="32">
        <v>37.625</v>
      </c>
    </row>
    <row r="86" spans="2:3" ht="14.25" x14ac:dyDescent="0.2">
      <c r="B86" s="31">
        <v>43297</v>
      </c>
      <c r="C86" s="34">
        <v>36.6875</v>
      </c>
    </row>
    <row r="87" spans="2:3" ht="14.25" x14ac:dyDescent="0.2">
      <c r="B87" s="33">
        <v>43298</v>
      </c>
      <c r="C87" s="32">
        <v>37</v>
      </c>
    </row>
    <row r="88" spans="2:3" ht="14.25" x14ac:dyDescent="0.2">
      <c r="B88" s="31">
        <v>43299</v>
      </c>
      <c r="C88" s="34">
        <v>38</v>
      </c>
    </row>
    <row r="89" spans="2:3" ht="14.25" x14ac:dyDescent="0.2">
      <c r="B89" s="33">
        <v>43300</v>
      </c>
      <c r="C89" s="32">
        <v>38.125</v>
      </c>
    </row>
    <row r="90" spans="2:3" ht="14.25" x14ac:dyDescent="0.2">
      <c r="B90" s="31">
        <v>43301</v>
      </c>
      <c r="C90" s="34">
        <v>37.5625</v>
      </c>
    </row>
    <row r="91" spans="2:3" ht="14.25" x14ac:dyDescent="0.2">
      <c r="B91" s="33">
        <v>43304</v>
      </c>
      <c r="C91" s="32">
        <v>36.4375</v>
      </c>
    </row>
    <row r="92" spans="2:3" ht="14.25" x14ac:dyDescent="0.2">
      <c r="B92" s="31">
        <v>43305</v>
      </c>
      <c r="C92" s="34">
        <v>37</v>
      </c>
    </row>
    <row r="93" spans="2:3" ht="14.25" x14ac:dyDescent="0.2">
      <c r="B93" s="33">
        <v>43306</v>
      </c>
      <c r="C93" s="32">
        <v>35.875</v>
      </c>
    </row>
    <row r="94" spans="2:3" ht="14.25" x14ac:dyDescent="0.2">
      <c r="B94" s="31">
        <v>43307</v>
      </c>
      <c r="C94" s="34">
        <v>36.5625</v>
      </c>
    </row>
    <row r="95" spans="2:3" ht="14.25" x14ac:dyDescent="0.2">
      <c r="B95" s="33">
        <v>43308</v>
      </c>
      <c r="C95" s="32">
        <v>35.4375</v>
      </c>
    </row>
    <row r="96" spans="2:3" ht="14.25" x14ac:dyDescent="0.2">
      <c r="B96" s="31">
        <v>43311</v>
      </c>
      <c r="C96" s="34">
        <v>36.8125</v>
      </c>
    </row>
    <row r="97" spans="2:3" ht="14.25" x14ac:dyDescent="0.2">
      <c r="B97" s="33">
        <v>43312</v>
      </c>
      <c r="C97" s="32">
        <v>37.75</v>
      </c>
    </row>
    <row r="98" spans="2:3" ht="14.25" x14ac:dyDescent="0.2">
      <c r="B98" s="31">
        <v>43313</v>
      </c>
      <c r="C98" s="34">
        <v>37.0625</v>
      </c>
    </row>
    <row r="99" spans="2:3" ht="14.25" x14ac:dyDescent="0.2">
      <c r="B99" s="33">
        <v>43314</v>
      </c>
      <c r="C99" s="32">
        <v>36.4375</v>
      </c>
    </row>
    <row r="100" spans="2:3" ht="14.25" x14ac:dyDescent="0.2">
      <c r="B100" s="31">
        <v>43315</v>
      </c>
      <c r="C100" s="34">
        <v>35.625</v>
      </c>
    </row>
    <row r="101" spans="2:3" ht="14.25" x14ac:dyDescent="0.2">
      <c r="B101" s="33">
        <v>43318</v>
      </c>
      <c r="C101" s="32">
        <v>36.0625</v>
      </c>
    </row>
    <row r="102" spans="2:3" ht="14.25" x14ac:dyDescent="0.2">
      <c r="B102" s="31">
        <v>43319</v>
      </c>
      <c r="C102" s="34">
        <v>36.6875</v>
      </c>
    </row>
    <row r="103" spans="2:3" ht="14.25" x14ac:dyDescent="0.2">
      <c r="B103" s="33">
        <v>43320</v>
      </c>
      <c r="C103" s="32">
        <v>33.75</v>
      </c>
    </row>
    <row r="104" spans="2:3" ht="14.25" x14ac:dyDescent="0.2">
      <c r="B104" s="31">
        <v>43321</v>
      </c>
      <c r="C104" s="34">
        <v>34.875</v>
      </c>
    </row>
    <row r="105" spans="2:3" ht="14.25" x14ac:dyDescent="0.2">
      <c r="B105" s="33">
        <v>43322</v>
      </c>
      <c r="C105" s="32">
        <v>33.8125</v>
      </c>
    </row>
    <row r="106" spans="2:3" ht="14.25" x14ac:dyDescent="0.2">
      <c r="B106" s="31">
        <v>43325</v>
      </c>
      <c r="C106" s="34">
        <v>36.375</v>
      </c>
    </row>
    <row r="107" spans="2:3" ht="14.25" x14ac:dyDescent="0.2">
      <c r="B107" s="33">
        <v>43326</v>
      </c>
      <c r="C107" s="32">
        <v>37.1875</v>
      </c>
    </row>
    <row r="108" spans="2:3" ht="14.25" x14ac:dyDescent="0.2">
      <c r="B108" s="31">
        <v>43327</v>
      </c>
      <c r="C108" s="34">
        <v>37.625</v>
      </c>
    </row>
    <row r="109" spans="2:3" ht="14.25" x14ac:dyDescent="0.2">
      <c r="B109" s="33">
        <v>43328</v>
      </c>
      <c r="C109" s="32">
        <v>37.125</v>
      </c>
    </row>
    <row r="110" spans="2:3" ht="14.25" x14ac:dyDescent="0.2">
      <c r="B110" s="31">
        <v>43329</v>
      </c>
      <c r="C110" s="34">
        <v>37.1875</v>
      </c>
    </row>
    <row r="111" spans="2:3" ht="14.25" x14ac:dyDescent="0.2">
      <c r="B111" s="33">
        <v>43333</v>
      </c>
      <c r="C111" s="32">
        <v>37.125</v>
      </c>
    </row>
    <row r="112" spans="2:3" ht="14.25" x14ac:dyDescent="0.2">
      <c r="B112" s="31">
        <v>43334</v>
      </c>
      <c r="C112" s="34">
        <v>35.5</v>
      </c>
    </row>
    <row r="113" spans="2:5" ht="14.25" x14ac:dyDescent="0.2">
      <c r="B113" s="33">
        <v>43335</v>
      </c>
      <c r="C113" s="32">
        <v>36.9375</v>
      </c>
    </row>
    <row r="114" spans="2:5" ht="14.25" x14ac:dyDescent="0.2">
      <c r="B114" s="31">
        <v>43336</v>
      </c>
      <c r="C114" s="34">
        <v>36.875</v>
      </c>
    </row>
    <row r="115" spans="2:5" ht="14.25" x14ac:dyDescent="0.2">
      <c r="B115" s="33">
        <v>43339</v>
      </c>
      <c r="C115" s="32">
        <v>36.1875</v>
      </c>
    </row>
    <row r="116" spans="2:5" ht="14.25" x14ac:dyDescent="0.2">
      <c r="B116" s="31">
        <v>43340</v>
      </c>
      <c r="C116" s="34">
        <v>36.4375</v>
      </c>
    </row>
    <row r="117" spans="2:5" ht="14.25" x14ac:dyDescent="0.2">
      <c r="B117" s="33">
        <v>43341</v>
      </c>
      <c r="C117" s="32">
        <v>36.5</v>
      </c>
    </row>
    <row r="118" spans="2:5" ht="14.25" x14ac:dyDescent="0.2">
      <c r="B118" s="31">
        <v>43342</v>
      </c>
      <c r="C118" s="34">
        <v>37.75</v>
      </c>
    </row>
    <row r="119" spans="2:5" ht="14.25" x14ac:dyDescent="0.2">
      <c r="B119" s="31">
        <v>43343</v>
      </c>
      <c r="C119" s="34">
        <v>40.5</v>
      </c>
      <c r="E119" s="35"/>
    </row>
    <row r="120" spans="2:5" ht="14.25" x14ac:dyDescent="0.2">
      <c r="B120" s="31">
        <v>43346</v>
      </c>
      <c r="C120" s="34">
        <v>41</v>
      </c>
    </row>
    <row r="121" spans="2:5" ht="14.25" x14ac:dyDescent="0.2">
      <c r="B121" s="31">
        <v>43347</v>
      </c>
      <c r="C121" s="34"/>
    </row>
    <row r="122" spans="2:5" ht="14.25" x14ac:dyDescent="0.2">
      <c r="B122" s="31">
        <v>43348</v>
      </c>
      <c r="C122" s="34"/>
    </row>
    <row r="123" spans="2:5" ht="14.25" x14ac:dyDescent="0.2">
      <c r="B123" s="31">
        <v>43349</v>
      </c>
      <c r="C123" s="34"/>
    </row>
    <row r="124" spans="2:5" ht="14.25" x14ac:dyDescent="0.2">
      <c r="B124" s="31">
        <v>43350</v>
      </c>
      <c r="C124" s="34"/>
    </row>
    <row r="125" spans="2:5" ht="14.25" x14ac:dyDescent="0.2">
      <c r="B125" s="31">
        <v>43353</v>
      </c>
      <c r="C125" s="34"/>
    </row>
    <row r="126" spans="2:5" ht="14.25" x14ac:dyDescent="0.2">
      <c r="B126" s="31">
        <v>43354</v>
      </c>
      <c r="C126" s="34"/>
    </row>
    <row r="127" spans="2:5" ht="14.25" x14ac:dyDescent="0.2">
      <c r="B127" s="31">
        <v>43355</v>
      </c>
      <c r="C127" s="34"/>
    </row>
    <row r="128" spans="2:5" ht="14.25" x14ac:dyDescent="0.2">
      <c r="B128" s="31">
        <v>43356</v>
      </c>
      <c r="C128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1">
        <v>43101</v>
      </c>
    </row>
    <row r="2" spans="2:2" x14ac:dyDescent="0.2">
      <c r="B2" s="41">
        <v>43143</v>
      </c>
    </row>
    <row r="3" spans="2:2" x14ac:dyDescent="0.2">
      <c r="B3" s="41">
        <v>43144</v>
      </c>
    </row>
    <row r="4" spans="2:2" x14ac:dyDescent="0.2">
      <c r="B4" s="41">
        <v>43188</v>
      </c>
    </row>
    <row r="5" spans="2:2" x14ac:dyDescent="0.2">
      <c r="B5" s="41">
        <v>43189</v>
      </c>
    </row>
    <row r="6" spans="2:2" x14ac:dyDescent="0.2">
      <c r="B6" s="41">
        <v>43192</v>
      </c>
    </row>
    <row r="7" spans="2:2" x14ac:dyDescent="0.2">
      <c r="B7" s="41">
        <v>43220</v>
      </c>
    </row>
    <row r="8" spans="2:2" x14ac:dyDescent="0.2">
      <c r="B8" s="41">
        <v>43221</v>
      </c>
    </row>
    <row r="9" spans="2:2" x14ac:dyDescent="0.2">
      <c r="B9" s="41">
        <v>43245</v>
      </c>
    </row>
    <row r="10" spans="2:2" x14ac:dyDescent="0.2">
      <c r="B10" s="41">
        <v>43271</v>
      </c>
    </row>
    <row r="11" spans="2:2" x14ac:dyDescent="0.2">
      <c r="B11" s="41">
        <v>43290</v>
      </c>
    </row>
    <row r="12" spans="2:2" x14ac:dyDescent="0.2">
      <c r="B12" s="41">
        <v>43332</v>
      </c>
    </row>
    <row r="13" spans="2:2" x14ac:dyDescent="0.2">
      <c r="B13" s="41">
        <v>43388</v>
      </c>
    </row>
    <row r="14" spans="2:2" x14ac:dyDescent="0.2">
      <c r="B14" s="41">
        <v>43410</v>
      </c>
    </row>
    <row r="15" spans="2:2" x14ac:dyDescent="0.2">
      <c r="B15" s="41">
        <v>43423</v>
      </c>
    </row>
    <row r="16" spans="2:2" x14ac:dyDescent="0.2">
      <c r="B16" s="41">
        <v>43434</v>
      </c>
    </row>
    <row r="17" spans="2:2" x14ac:dyDescent="0.2">
      <c r="B17" s="41">
        <v>43442</v>
      </c>
    </row>
    <row r="18" spans="2:2" x14ac:dyDescent="0.2">
      <c r="B18" s="41">
        <v>43458</v>
      </c>
    </row>
    <row r="19" spans="2:2" x14ac:dyDescent="0.2">
      <c r="B19" s="41">
        <v>43459</v>
      </c>
    </row>
    <row r="20" spans="2:2" x14ac:dyDescent="0.2">
      <c r="B20" s="41">
        <v>43465</v>
      </c>
    </row>
    <row r="21" spans="2:2" x14ac:dyDescent="0.2">
      <c r="B21" s="41">
        <v>43466</v>
      </c>
    </row>
    <row r="22" spans="2:2" x14ac:dyDescent="0.2">
      <c r="B22" s="41">
        <v>43528</v>
      </c>
    </row>
    <row r="23" spans="2:2" x14ac:dyDescent="0.2">
      <c r="B23" s="41">
        <v>43529</v>
      </c>
    </row>
    <row r="24" spans="2:2" x14ac:dyDescent="0.2">
      <c r="B24" s="41">
        <v>43548</v>
      </c>
    </row>
    <row r="25" spans="2:2" x14ac:dyDescent="0.2">
      <c r="B25" s="41">
        <v>43557</v>
      </c>
    </row>
    <row r="26" spans="2:2" x14ac:dyDescent="0.2">
      <c r="B26" s="41">
        <v>43573</v>
      </c>
    </row>
    <row r="27" spans="2:2" x14ac:dyDescent="0.2">
      <c r="B27" s="41">
        <v>43574</v>
      </c>
    </row>
    <row r="28" spans="2:2" x14ac:dyDescent="0.2">
      <c r="B28" s="41">
        <v>43586</v>
      </c>
    </row>
    <row r="29" spans="2:2" x14ac:dyDescent="0.2">
      <c r="B29" s="41">
        <v>43610</v>
      </c>
    </row>
    <row r="30" spans="2:2" x14ac:dyDescent="0.2">
      <c r="B30" s="41">
        <v>43633</v>
      </c>
    </row>
    <row r="31" spans="2:2" x14ac:dyDescent="0.2">
      <c r="B31" s="41">
        <v>43636</v>
      </c>
    </row>
    <row r="32" spans="2:2" x14ac:dyDescent="0.2">
      <c r="B32" s="41">
        <v>43654</v>
      </c>
    </row>
    <row r="33" spans="2:2" x14ac:dyDescent="0.2">
      <c r="B33" s="41">
        <v>43655</v>
      </c>
    </row>
    <row r="34" spans="2:2" x14ac:dyDescent="0.2">
      <c r="B34" s="41">
        <v>43696</v>
      </c>
    </row>
    <row r="35" spans="2:2" x14ac:dyDescent="0.2">
      <c r="B35" s="41">
        <v>43752</v>
      </c>
    </row>
    <row r="36" spans="2:2" x14ac:dyDescent="0.2">
      <c r="B36" s="41">
        <v>43775</v>
      </c>
    </row>
    <row r="37" spans="2:2" x14ac:dyDescent="0.2">
      <c r="B37" s="41">
        <v>43787</v>
      </c>
    </row>
    <row r="38" spans="2:2" x14ac:dyDescent="0.2">
      <c r="B38" s="41">
        <v>43823</v>
      </c>
    </row>
    <row r="39" spans="2:2" x14ac:dyDescent="0.2">
      <c r="B39" s="41">
        <v>43824</v>
      </c>
    </row>
    <row r="40" spans="2:2" x14ac:dyDescent="0.2">
      <c r="B40" s="41">
        <v>43830</v>
      </c>
    </row>
    <row r="41" spans="2:2" x14ac:dyDescent="0.2">
      <c r="B41" s="41">
        <v>43831</v>
      </c>
    </row>
    <row r="42" spans="2:2" x14ac:dyDescent="0.2">
      <c r="B42" s="41">
        <v>43885</v>
      </c>
    </row>
    <row r="43" spans="2:2" x14ac:dyDescent="0.2">
      <c r="B43" s="41">
        <v>43886</v>
      </c>
    </row>
    <row r="44" spans="2:2" x14ac:dyDescent="0.2">
      <c r="B44" s="41">
        <v>43913</v>
      </c>
    </row>
    <row r="45" spans="2:2" x14ac:dyDescent="0.2">
      <c r="B45" s="41">
        <v>43914</v>
      </c>
    </row>
    <row r="46" spans="2:2" x14ac:dyDescent="0.2">
      <c r="B46" s="41">
        <v>43923</v>
      </c>
    </row>
    <row r="47" spans="2:2" x14ac:dyDescent="0.2">
      <c r="B47" s="41">
        <v>43930</v>
      </c>
    </row>
    <row r="48" spans="2:2" x14ac:dyDescent="0.2">
      <c r="B48" s="41">
        <v>43931</v>
      </c>
    </row>
    <row r="49" spans="2:2" x14ac:dyDescent="0.2">
      <c r="B49" s="41">
        <v>43952</v>
      </c>
    </row>
    <row r="50" spans="2:2" x14ac:dyDescent="0.2">
      <c r="B50" s="41">
        <v>43976</v>
      </c>
    </row>
    <row r="51" spans="2:2" x14ac:dyDescent="0.2">
      <c r="B51" s="41">
        <v>43997</v>
      </c>
    </row>
    <row r="52" spans="2:2" x14ac:dyDescent="0.2">
      <c r="B52" s="41">
        <v>44002</v>
      </c>
    </row>
    <row r="53" spans="2:2" x14ac:dyDescent="0.2">
      <c r="B53" s="41">
        <v>44021</v>
      </c>
    </row>
    <row r="54" spans="2:2" x14ac:dyDescent="0.2">
      <c r="B54" s="41">
        <v>44022</v>
      </c>
    </row>
    <row r="55" spans="2:2" x14ac:dyDescent="0.2">
      <c r="B55" s="41">
        <v>44060</v>
      </c>
    </row>
    <row r="56" spans="2:2" x14ac:dyDescent="0.2">
      <c r="B56" s="41">
        <v>44116</v>
      </c>
    </row>
    <row r="57" spans="2:2" x14ac:dyDescent="0.2">
      <c r="B57" s="41">
        <v>44141</v>
      </c>
    </row>
    <row r="58" spans="2:2" x14ac:dyDescent="0.2">
      <c r="B58" s="41">
        <v>44158</v>
      </c>
    </row>
    <row r="59" spans="2:2" x14ac:dyDescent="0.2">
      <c r="B59" s="41">
        <v>44172</v>
      </c>
    </row>
    <row r="60" spans="2:2" x14ac:dyDescent="0.2">
      <c r="B60" s="41">
        <v>44173</v>
      </c>
    </row>
    <row r="61" spans="2:2" x14ac:dyDescent="0.2">
      <c r="B61" s="41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8">
        <v>43202</v>
      </c>
    </row>
    <row r="2" spans="1:4" x14ac:dyDescent="0.2">
      <c r="A2" s="38">
        <v>43200</v>
      </c>
      <c r="B2">
        <v>1</v>
      </c>
      <c r="D2">
        <f>+IF(A1&lt;A2,B2,(IF(A1&lt;A3,B3,0)))</f>
        <v>2</v>
      </c>
    </row>
    <row r="3" spans="1:4" x14ac:dyDescent="0.2">
      <c r="A3" s="38">
        <v>43230</v>
      </c>
      <c r="B3">
        <v>2</v>
      </c>
    </row>
    <row r="4" spans="1:4" x14ac:dyDescent="0.2">
      <c r="A4" s="38">
        <v>43261</v>
      </c>
      <c r="B4">
        <v>3</v>
      </c>
    </row>
    <row r="5" spans="1:4" x14ac:dyDescent="0.2">
      <c r="A5" s="38">
        <v>43291</v>
      </c>
      <c r="B5">
        <v>4</v>
      </c>
    </row>
    <row r="6" spans="1:4" x14ac:dyDescent="0.2">
      <c r="A6" s="38">
        <v>43322</v>
      </c>
      <c r="B6">
        <v>5</v>
      </c>
    </row>
    <row r="7" spans="1:4" x14ac:dyDescent="0.2">
      <c r="A7" s="38">
        <v>43353</v>
      </c>
      <c r="B7">
        <v>6</v>
      </c>
    </row>
    <row r="8" spans="1:4" x14ac:dyDescent="0.2">
      <c r="A8" s="38">
        <v>43383</v>
      </c>
      <c r="B8">
        <v>7</v>
      </c>
    </row>
    <row r="9" spans="1:4" x14ac:dyDescent="0.2">
      <c r="A9" s="3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A</vt:lpstr>
      <vt:lpstr>Clase B</vt:lpstr>
      <vt:lpstr>TM20</vt:lpstr>
      <vt:lpstr>Feriados</vt:lpstr>
      <vt:lpstr>Hoja2</vt:lpstr>
      <vt:lpstr>'Clase A'!Área_de_impresión</vt:lpstr>
      <vt:lpstr>'Clase B'!Área_de_impresión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2022-08-29T13:43:43Z</dcterms:modified>
</cp:coreProperties>
</file>