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San Bautista del Sur\Difusión\"/>
    </mc:Choice>
  </mc:AlternateContent>
  <bookViews>
    <workbookView xWindow="0" yWindow="0" windowWidth="25200" windowHeight="11490"/>
  </bookViews>
  <sheets>
    <sheet name="SERIE II (ARS)" sheetId="12" r:id="rId1"/>
    <sheet name="Feriados" sheetId="5" state="hidden" r:id="rId2"/>
    <sheet name="Hoja2" sheetId="7" state="hidden" r:id="rId3"/>
  </sheets>
  <definedNames>
    <definedName name="_xlnm.Print_Area" localSheetId="0">'SERIE II (ARS)'!$D$1:$P$48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2" l="1"/>
  <c r="B36" i="12"/>
  <c r="C32" i="12"/>
  <c r="C33" i="12"/>
  <c r="C34" i="12"/>
  <c r="C35" i="12"/>
  <c r="C31" i="12"/>
  <c r="B32" i="12"/>
  <c r="B33" i="12" s="1"/>
  <c r="B34" i="12" s="1"/>
  <c r="B35" i="12" s="1"/>
  <c r="B31" i="12"/>
  <c r="B38" i="12" l="1"/>
  <c r="C36" i="12"/>
  <c r="O32" i="12"/>
  <c r="O33" i="12"/>
  <c r="O34" i="12"/>
  <c r="O35" i="12"/>
  <c r="O36" i="12"/>
  <c r="O37" i="12"/>
  <c r="O38" i="12"/>
  <c r="C38" i="12" l="1"/>
  <c r="C37" i="12"/>
  <c r="M30" i="12"/>
  <c r="J18" i="12" l="1"/>
  <c r="J19" i="12"/>
  <c r="J20" i="12"/>
  <c r="J21" i="12"/>
  <c r="J22" i="12"/>
  <c r="J23" i="12"/>
  <c r="J24" i="12"/>
  <c r="I33" i="12"/>
  <c r="I34" i="12"/>
  <c r="I36" i="12"/>
  <c r="I37" i="12"/>
  <c r="I38" i="12"/>
  <c r="I35" i="12"/>
  <c r="I31" i="12"/>
  <c r="G14" i="12" l="1"/>
  <c r="I32" i="12"/>
  <c r="K40" i="12" l="1"/>
  <c r="Q39" i="12"/>
  <c r="L31" i="12"/>
  <c r="Q30" i="12"/>
  <c r="N30" i="12"/>
  <c r="S30" i="12"/>
  <c r="I30" i="12"/>
  <c r="I29" i="12" s="1"/>
  <c r="E30" i="12"/>
  <c r="F30" i="12" s="1"/>
  <c r="B30" i="12"/>
  <c r="L29" i="12"/>
  <c r="J17" i="12"/>
  <c r="D30" i="12"/>
  <c r="A38" i="12" l="1"/>
  <c r="L32" i="12"/>
  <c r="J25" i="12"/>
  <c r="A34" i="12" l="1"/>
  <c r="A33" i="12"/>
  <c r="A32" i="12"/>
  <c r="A35" i="12"/>
  <c r="A31" i="12"/>
  <c r="A37" i="12"/>
  <c r="A36" i="12"/>
  <c r="L33" i="12"/>
  <c r="L34" i="12" l="1"/>
  <c r="L35" i="12" l="1"/>
  <c r="L36" i="12" l="1"/>
  <c r="L37" i="12" l="1"/>
  <c r="L38" i="12"/>
  <c r="D2" i="7" l="1"/>
  <c r="E31" i="12"/>
  <c r="E32" i="12" s="1"/>
  <c r="F32" i="12" l="1"/>
  <c r="E33" i="12"/>
  <c r="G32" i="12"/>
  <c r="J32" i="12" s="1"/>
  <c r="K18" i="12" s="1"/>
  <c r="L18" i="12" s="1"/>
  <c r="F31" i="12"/>
  <c r="G31" i="12"/>
  <c r="J31" i="12" s="1"/>
  <c r="K17" i="12" s="1"/>
  <c r="E34" i="12" l="1"/>
  <c r="G33" i="12"/>
  <c r="J33" i="12" s="1"/>
  <c r="K19" i="12" s="1"/>
  <c r="L19" i="12" s="1"/>
  <c r="F33" i="12"/>
  <c r="D31" i="12"/>
  <c r="I17" i="12"/>
  <c r="H17" i="12" s="1"/>
  <c r="H31" i="12"/>
  <c r="Q31" i="12" s="1"/>
  <c r="M31" i="12"/>
  <c r="L17" i="12"/>
  <c r="M32" i="12"/>
  <c r="H32" i="12"/>
  <c r="Q32" i="12" s="1"/>
  <c r="I18" i="12"/>
  <c r="H18" i="12" s="1"/>
  <c r="D32" i="12"/>
  <c r="N31" i="12" l="1"/>
  <c r="S31" i="12"/>
  <c r="M33" i="12"/>
  <c r="I19" i="12"/>
  <c r="H19" i="12" s="1"/>
  <c r="D33" i="12"/>
  <c r="H33" i="12"/>
  <c r="Q33" i="12" s="1"/>
  <c r="S32" i="12"/>
  <c r="N32" i="12"/>
  <c r="F34" i="12"/>
  <c r="G34" i="12"/>
  <c r="J34" i="12" s="1"/>
  <c r="K20" i="12" s="1"/>
  <c r="E35" i="12"/>
  <c r="S33" i="12" l="1"/>
  <c r="N33" i="12"/>
  <c r="F35" i="12"/>
  <c r="G35" i="12"/>
  <c r="J35" i="12" s="1"/>
  <c r="K21" i="12" s="1"/>
  <c r="L21" i="12" s="1"/>
  <c r="E36" i="12"/>
  <c r="L20" i="12"/>
  <c r="D34" i="12"/>
  <c r="I20" i="12"/>
  <c r="H20" i="12" s="1"/>
  <c r="H34" i="12"/>
  <c r="Q34" i="12" s="1"/>
  <c r="M34" i="12"/>
  <c r="M35" i="12" l="1"/>
  <c r="D35" i="12"/>
  <c r="I21" i="12"/>
  <c r="H21" i="12" s="1"/>
  <c r="H35" i="12"/>
  <c r="Q35" i="12" s="1"/>
  <c r="N34" i="12"/>
  <c r="S34" i="12"/>
  <c r="F36" i="12"/>
  <c r="E37" i="12"/>
  <c r="G36" i="12"/>
  <c r="J36" i="12" s="1"/>
  <c r="K22" i="12" s="1"/>
  <c r="L22" i="12" s="1"/>
  <c r="H36" i="12" l="1"/>
  <c r="Q36" i="12" s="1"/>
  <c r="D36" i="12"/>
  <c r="M36" i="12"/>
  <c r="I22" i="12"/>
  <c r="H22" i="12" s="1"/>
  <c r="F37" i="12"/>
  <c r="E38" i="12"/>
  <c r="G37" i="12"/>
  <c r="J37" i="12" s="1"/>
  <c r="K23" i="12" s="1"/>
  <c r="L23" i="12" s="1"/>
  <c r="N35" i="12"/>
  <c r="S35" i="12"/>
  <c r="N36" i="12" l="1"/>
  <c r="S36" i="12"/>
  <c r="H37" i="12"/>
  <c r="Q37" i="12" s="1"/>
  <c r="M37" i="12"/>
  <c r="D37" i="12"/>
  <c r="I23" i="12"/>
  <c r="H23" i="12" s="1"/>
  <c r="G38" i="12"/>
  <c r="J38" i="12" s="1"/>
  <c r="K24" i="12" s="1"/>
  <c r="L24" i="12" s="1"/>
  <c r="F38" i="12"/>
  <c r="K25" i="12" l="1"/>
  <c r="L25" i="12" s="1"/>
  <c r="H38" i="12"/>
  <c r="Q38" i="12" s="1"/>
  <c r="I24" i="12"/>
  <c r="H24" i="12" s="1"/>
  <c r="G11" i="12"/>
  <c r="D38" i="12"/>
  <c r="M38" i="12"/>
  <c r="N37" i="12"/>
  <c r="S37" i="12"/>
  <c r="N38" i="12" l="1"/>
  <c r="K10" i="12" s="1"/>
  <c r="K11" i="12" s="1"/>
  <c r="S38" i="12"/>
  <c r="N40" i="12" l="1"/>
  <c r="R35" i="12" l="1"/>
  <c r="T35" i="12" s="1"/>
  <c r="U35" i="12" s="1"/>
  <c r="R37" i="12"/>
  <c r="T37" i="12" s="1"/>
  <c r="U37" i="12" s="1"/>
  <c r="R36" i="12"/>
  <c r="T36" i="12" s="1"/>
  <c r="U36" i="12" s="1"/>
  <c r="R33" i="12"/>
  <c r="T33" i="12" s="1"/>
  <c r="U33" i="12" s="1"/>
  <c r="R39" i="12"/>
  <c r="R34" i="12"/>
  <c r="T34" i="12" s="1"/>
  <c r="U34" i="12" s="1"/>
  <c r="R38" i="12"/>
  <c r="T38" i="12" s="1"/>
  <c r="U38" i="12" s="1"/>
  <c r="R32" i="12"/>
  <c r="T32" i="12" s="1"/>
  <c r="U32" i="12" s="1"/>
  <c r="R30" i="12"/>
  <c r="T30" i="12" s="1"/>
  <c r="U30" i="12" s="1"/>
  <c r="R28" i="12"/>
  <c r="R31" i="12"/>
  <c r="T31" i="12" s="1"/>
  <c r="T40" i="12" l="1"/>
  <c r="U31" i="12"/>
  <c r="U40" i="12" s="1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<sst xmlns="http://schemas.openxmlformats.org/spreadsheetml/2006/main" count="41" uniqueCount="40">
  <si>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</si>
  <si>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</si>
  <si>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</si>
  <si>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</si>
  <si>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</si>
  <si>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</si>
  <si>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</si>
  <si>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</si>
  <si>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</si>
  <si>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</si>
  <si>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</si>
  <si>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</si>
  <si>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</si>
  <si>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</si>
  <si>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</si>
  <si>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</si>
  <si>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</si>
  <si>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</si>
  <si>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</si>
  <si>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</si>
  <si>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</si>
  <si>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</si>
  <si>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</si>
  <si>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</si>
  <si>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</si>
  <si>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</si>
  <si>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</si>
  <si>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</si>
  <si>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</si>
  <si>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</si>
  <si>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</si>
  <si>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s/c</t>
  </si>
  <si>
    <t>Badlar Proyectada</t>
  </si>
  <si>
    <t>Pesos</t>
  </si>
  <si>
    <t>Margen a licitar:</t>
  </si>
  <si>
    <t>Trimestrales</t>
  </si>
  <si>
    <t>Precio:</t>
  </si>
  <si>
    <t>Meses</t>
  </si>
  <si>
    <t>Badlar + Margen a licitar</t>
  </si>
  <si>
    <t>ON Pyme CNV Garantizada San Bautista del Sur Serie I (Badlar 24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</si>
</sst>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166" fontId="2" fillId="3" borderId="0" xfId="3" applyNumberFormat="1" applyFont="1" applyFill="1" applyBorder="1" applyAlignment="1" applyProtection="1">
      <alignment horizontal="center"/>
    </xf>
    <xf numFmtId="166" fontId="2" fillId="3" borderId="8" xfId="3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571500</xdr:colOff>
      <xdr:row>3</xdr:row>
      <xdr:rowOff>9526</xdr:rowOff>
    </xdr:from>
    <xdr:to>
      <xdr:col>8</xdr:col>
      <xdr:colOff>439951</xdr:colOff>
      <xdr:row>6</xdr:row>
      <xdr:rowOff>27480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2514600" y="438151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428624</xdr:colOff>
      <xdr:row>0</xdr:row>
      <xdr:rowOff>57150</xdr:rowOff>
    </xdr:from>
    <xdr:to>
      <xdr:col>13</xdr:col>
      <xdr:colOff>285750</xdr:colOff>
      <xdr:row>6</xdr:row>
      <xdr:rowOff>95249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60" t="-12725" r="44841" b="-1010"/>
        <a:stretch/>
      </xdr:blipFill>
      <xdr:spPr>
        <a:xfrm>
          <a:off x="7296149" y="57150"/>
          <a:ext cx="628651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128"/>
  <sheetViews>
    <sheetView showGridLines="0" tabSelected="1" zoomScaleNormal="100" zoomScaleSheetLayoutView="130" workbookViewId="0">
      <selection activeCell="K11" sqref="K11:L11"/>
    </sheetView>
  </sheetViews>
  <sheetFormatPr baseColWidth="10" defaultColWidth="11.42578125" defaultRowHeight="11.25" x14ac:dyDescent="0.2"/>
  <cols>
    <col min="1" max="1" width="11.85546875" style="85" customWidth="1"/>
    <col min="2" max="2" width="18.85546875" style="1" hidden="1" customWidth="1"/>
    <col min="3" max="3" width="5.7109375" style="1" hidden="1" customWidth="1"/>
    <col min="4" max="4" width="9.140625" style="1" hidden="1" customWidth="1"/>
    <col min="5" max="5" width="26.140625" style="1" hidden="1" customWidth="1"/>
    <col min="6" max="6" width="17.28515625" style="1" customWidth="1"/>
    <col min="7" max="7" width="10.7109375" style="1" customWidth="1"/>
    <col min="8" max="8" width="11.710937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6.425781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hidden="1" customWidth="1"/>
    <col min="23" max="23" width="11.42578125" style="1" hidden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19" t="s">
        <v>39</v>
      </c>
      <c r="G8" s="120"/>
      <c r="H8" s="120"/>
      <c r="I8" s="120"/>
      <c r="J8" s="120"/>
      <c r="K8" s="120"/>
      <c r="L8" s="120"/>
      <c r="M8" s="120"/>
      <c r="N8" s="120"/>
      <c r="O8" s="121"/>
      <c r="P8" s="122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6" t="s">
        <v>0</v>
      </c>
      <c r="G10" s="123">
        <v>45167</v>
      </c>
      <c r="H10" s="124"/>
      <c r="I10" s="125" t="s">
        <v>1</v>
      </c>
      <c r="J10" s="126"/>
      <c r="K10" s="127">
        <f>XIRR(N30:N38,D30:D38)</f>
        <v>1.688481175899506</v>
      </c>
      <c r="L10" s="128"/>
      <c r="M10" s="125" t="s">
        <v>25</v>
      </c>
      <c r="N10" s="126"/>
      <c r="O10" s="127" t="s">
        <v>35</v>
      </c>
      <c r="P10" s="128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7" t="s">
        <v>2</v>
      </c>
      <c r="G11" s="113">
        <f>+F38</f>
        <v>45898</v>
      </c>
      <c r="H11" s="114"/>
      <c r="I11" s="99" t="s">
        <v>18</v>
      </c>
      <c r="J11" s="100"/>
      <c r="K11" s="115">
        <f>+(((1+K10)^(90/365))-1)*(365/90)</f>
        <v>1.1199906554527452</v>
      </c>
      <c r="L11" s="116"/>
      <c r="M11" s="99" t="s">
        <v>28</v>
      </c>
      <c r="N11" s="100"/>
      <c r="O11" s="117" t="s">
        <v>33</v>
      </c>
      <c r="P11" s="118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7" t="s">
        <v>26</v>
      </c>
      <c r="G12" s="115" t="s">
        <v>38</v>
      </c>
      <c r="H12" s="116"/>
      <c r="I12" s="99" t="s">
        <v>27</v>
      </c>
      <c r="J12" s="100"/>
      <c r="K12" s="101">
        <f>+(U40/T40)*12</f>
        <v>10.363772847914065</v>
      </c>
      <c r="L12" s="102"/>
      <c r="M12" s="99" t="s">
        <v>36</v>
      </c>
      <c r="N12" s="100"/>
      <c r="O12" s="115">
        <v>1</v>
      </c>
      <c r="P12" s="116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7"/>
      <c r="G13" s="97"/>
      <c r="H13" s="98"/>
      <c r="I13" s="99" t="s">
        <v>23</v>
      </c>
      <c r="J13" s="100"/>
      <c r="K13" s="101" t="s">
        <v>31</v>
      </c>
      <c r="L13" s="102"/>
      <c r="M13" s="99" t="s">
        <v>30</v>
      </c>
      <c r="N13" s="100"/>
      <c r="O13" s="103">
        <v>300000000</v>
      </c>
      <c r="P13" s="104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68" t="s">
        <v>3</v>
      </c>
      <c r="G14" s="105">
        <f>+$G$10</f>
        <v>45167</v>
      </c>
      <c r="H14" s="106"/>
      <c r="I14" s="107" t="s">
        <v>24</v>
      </c>
      <c r="J14" s="108"/>
      <c r="K14" s="109">
        <v>24</v>
      </c>
      <c r="L14" s="110"/>
      <c r="M14" s="107" t="s">
        <v>34</v>
      </c>
      <c r="N14" s="108"/>
      <c r="O14" s="111">
        <v>0</v>
      </c>
      <c r="P14" s="112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H16" s="69" t="s">
        <v>37</v>
      </c>
      <c r="I16" s="69" t="s">
        <v>10</v>
      </c>
      <c r="J16" s="70" t="s">
        <v>16</v>
      </c>
      <c r="K16" s="79" t="s">
        <v>11</v>
      </c>
      <c r="L16" s="71" t="s">
        <v>12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1:142" ht="12.75" customHeight="1" x14ac:dyDescent="0.2">
      <c r="H17" s="83">
        <f>DATEDIF($B$30,I17,"m")</f>
        <v>3</v>
      </c>
      <c r="I17" s="72">
        <f>+F31</f>
        <v>45259</v>
      </c>
      <c r="J17" s="63">
        <f>+$O$13*K31/100</f>
        <v>0</v>
      </c>
      <c r="K17" s="62">
        <f>+$O$13*J31/100</f>
        <v>84879452.054794535</v>
      </c>
      <c r="L17" s="21">
        <f>SUM(J17:K17)</f>
        <v>84879452.054794535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1:142" ht="12.75" customHeight="1" x14ac:dyDescent="0.2">
      <c r="H18" s="83">
        <f t="shared" ref="H18:H24" si="0">DATEDIF($B$30,I18,"m")</f>
        <v>6</v>
      </c>
      <c r="I18" s="72">
        <f t="shared" ref="I18:I23" si="1">+F32</f>
        <v>45351</v>
      </c>
      <c r="J18" s="63">
        <f t="shared" ref="J18:J24" si="2">+$O$13*K32/100</f>
        <v>0</v>
      </c>
      <c r="K18" s="62">
        <f t="shared" ref="K18:K24" si="3">+$O$13*J32/100</f>
        <v>84879452.054794535</v>
      </c>
      <c r="L18" s="21">
        <f t="shared" ref="L18:L24" si="4">SUM(J18:K18)</f>
        <v>84879452.054794535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1:142" ht="12.75" customHeight="1" x14ac:dyDescent="0.2">
      <c r="H19" s="83">
        <f t="shared" si="0"/>
        <v>9</v>
      </c>
      <c r="I19" s="72">
        <f t="shared" si="1"/>
        <v>45441</v>
      </c>
      <c r="J19" s="63">
        <f t="shared" si="2"/>
        <v>0</v>
      </c>
      <c r="K19" s="62">
        <f t="shared" si="3"/>
        <v>83034246.575342476</v>
      </c>
      <c r="L19" s="21">
        <f t="shared" si="4"/>
        <v>83034246.575342476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1:142" ht="12.75" customHeight="1" x14ac:dyDescent="0.2">
      <c r="H20" s="83">
        <f t="shared" si="0"/>
        <v>12</v>
      </c>
      <c r="I20" s="72">
        <f t="shared" si="1"/>
        <v>45533</v>
      </c>
      <c r="J20" s="63">
        <f t="shared" si="2"/>
        <v>99000000</v>
      </c>
      <c r="K20" s="62">
        <f t="shared" si="3"/>
        <v>84879452.054794535</v>
      </c>
      <c r="L20" s="21">
        <f t="shared" si="4"/>
        <v>183879452.05479455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1:142" ht="12.75" customHeight="1" x14ac:dyDescent="0.2">
      <c r="H21" s="83">
        <f t="shared" si="0"/>
        <v>15</v>
      </c>
      <c r="I21" s="72">
        <f t="shared" si="1"/>
        <v>45625</v>
      </c>
      <c r="J21" s="63">
        <f t="shared" si="2"/>
        <v>0</v>
      </c>
      <c r="K21" s="62">
        <f t="shared" si="3"/>
        <v>56869232.87671233</v>
      </c>
      <c r="L21" s="21">
        <f t="shared" si="4"/>
        <v>56869232.87671233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1:142" ht="12.75" customHeight="1" x14ac:dyDescent="0.2">
      <c r="H22" s="83">
        <f t="shared" si="0"/>
        <v>18</v>
      </c>
      <c r="I22" s="72">
        <f t="shared" si="1"/>
        <v>45717</v>
      </c>
      <c r="J22" s="63">
        <f t="shared" si="2"/>
        <v>99000000</v>
      </c>
      <c r="K22" s="62">
        <f t="shared" si="3"/>
        <v>56869232.87671233</v>
      </c>
      <c r="L22" s="21">
        <f t="shared" si="4"/>
        <v>155869232.87671232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1:142" ht="12.75" customHeight="1" x14ac:dyDescent="0.2">
      <c r="H23" s="83">
        <f t="shared" si="0"/>
        <v>21</v>
      </c>
      <c r="I23" s="72">
        <f t="shared" si="1"/>
        <v>45806</v>
      </c>
      <c r="J23" s="63">
        <f t="shared" si="2"/>
        <v>0</v>
      </c>
      <c r="K23" s="62">
        <f t="shared" si="3"/>
        <v>27917958.904109586</v>
      </c>
      <c r="L23" s="21">
        <f t="shared" si="4"/>
        <v>27917958.904109586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1:142" ht="12.75" customHeight="1" x14ac:dyDescent="0.2">
      <c r="H24" s="84">
        <f t="shared" si="0"/>
        <v>24</v>
      </c>
      <c r="I24" s="72">
        <f>+F38</f>
        <v>45898</v>
      </c>
      <c r="J24" s="63">
        <f t="shared" si="2"/>
        <v>102000000</v>
      </c>
      <c r="K24" s="62">
        <f t="shared" si="3"/>
        <v>28859013.698630143</v>
      </c>
      <c r="L24" s="21">
        <f t="shared" si="4"/>
        <v>130859013.69863014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1:142" ht="12.75" customHeight="1" x14ac:dyDescent="0.2">
      <c r="I25" s="73" t="s">
        <v>12</v>
      </c>
      <c r="J25" s="74">
        <f>SUM(J17:J24)</f>
        <v>300000000</v>
      </c>
      <c r="K25" s="80">
        <f>SUM(K17:K24)</f>
        <v>508188041.09589046</v>
      </c>
      <c r="L25" s="75">
        <f>SUM(J25:K25)</f>
        <v>808188041.09589052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1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1:142" ht="14.25" customHeight="1" x14ac:dyDescent="0.2">
      <c r="F27" s="93" t="s">
        <v>17</v>
      </c>
      <c r="G27" s="95" t="s">
        <v>29</v>
      </c>
      <c r="H27" s="95" t="s">
        <v>13</v>
      </c>
      <c r="I27" s="95" t="s">
        <v>21</v>
      </c>
      <c r="J27" s="87" t="s">
        <v>20</v>
      </c>
      <c r="K27" s="87" t="s">
        <v>4</v>
      </c>
      <c r="L27" s="87" t="s">
        <v>14</v>
      </c>
      <c r="M27" s="89" t="s">
        <v>5</v>
      </c>
      <c r="N27" s="91" t="s">
        <v>15</v>
      </c>
      <c r="O27" s="91" t="s">
        <v>32</v>
      </c>
      <c r="Q27" s="9" t="s">
        <v>19</v>
      </c>
      <c r="R27" s="9" t="s">
        <v>6</v>
      </c>
      <c r="S27" s="9" t="s">
        <v>7</v>
      </c>
      <c r="T27" s="9" t="s">
        <v>8</v>
      </c>
      <c r="U27" s="9" t="s">
        <v>9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1:142" x14ac:dyDescent="0.2">
      <c r="F28" s="94"/>
      <c r="G28" s="96"/>
      <c r="H28" s="96"/>
      <c r="I28" s="96"/>
      <c r="J28" s="88"/>
      <c r="K28" s="88"/>
      <c r="L28" s="88"/>
      <c r="M28" s="90"/>
      <c r="N28" s="92"/>
      <c r="O28" s="92"/>
      <c r="Q28" s="10"/>
      <c r="R28" s="11">
        <f>+K10</f>
        <v>1.688481175899506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1:142" x14ac:dyDescent="0.2">
      <c r="B29" s="1" t="s">
        <v>22</v>
      </c>
      <c r="F29" s="64"/>
      <c r="G29" s="49"/>
      <c r="H29" s="49"/>
      <c r="I29" s="20">
        <f>+I30</f>
        <v>0</v>
      </c>
      <c r="J29" s="50"/>
      <c r="K29" s="50"/>
      <c r="L29" s="51">
        <f>+L30</f>
        <v>100</v>
      </c>
      <c r="M29" s="52"/>
      <c r="N29" s="65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1:142" s="12" customFormat="1" ht="12.75" customHeight="1" x14ac:dyDescent="0.2">
      <c r="A30" s="86"/>
      <c r="B30" s="30">
        <f>+G10</f>
        <v>45167</v>
      </c>
      <c r="C30" s="32"/>
      <c r="D30" s="30">
        <f>+G14</f>
        <v>45167</v>
      </c>
      <c r="E30" s="39">
        <f>+G10</f>
        <v>45167</v>
      </c>
      <c r="F30" s="57">
        <f>+E30</f>
        <v>45167</v>
      </c>
      <c r="G30" s="58"/>
      <c r="H30" s="58"/>
      <c r="I30" s="59">
        <f t="shared" ref="I30" si="5">+$O$14</f>
        <v>0</v>
      </c>
      <c r="J30" s="58"/>
      <c r="K30" s="58"/>
      <c r="L30" s="60">
        <v>100</v>
      </c>
      <c r="M30" s="60">
        <f>-O12*100</f>
        <v>-100</v>
      </c>
      <c r="N30" s="61">
        <f>+O13*-1</f>
        <v>-300000000</v>
      </c>
      <c r="O30" s="61"/>
      <c r="P30" s="1"/>
      <c r="Q30" s="16">
        <f t="shared" ref="Q30:Q39" si="6">H30/365</f>
        <v>0</v>
      </c>
      <c r="R30" s="16">
        <f t="shared" ref="R30:R39" si="7">1/(1+$K$10)^(H30/365)</f>
        <v>1</v>
      </c>
      <c r="S30" s="17">
        <f t="shared" ref="S30:S38" si="8">+M30</f>
        <v>-100</v>
      </c>
      <c r="T30" s="17">
        <f t="shared" ref="T30:T38" si="9">+S30*R30</f>
        <v>-100</v>
      </c>
      <c r="U30" s="17">
        <f t="shared" ref="U30:U38" si="10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1:142" s="12" customFormat="1" ht="12.75" customHeight="1" x14ac:dyDescent="0.2">
      <c r="A31" s="86">
        <f>DATEDIF($B$30,B31,"m")</f>
        <v>3</v>
      </c>
      <c r="B31" s="30">
        <f>EDATE(B30,3)</f>
        <v>45259</v>
      </c>
      <c r="C31" s="32">
        <f>B31-B30</f>
        <v>92</v>
      </c>
      <c r="D31" s="30">
        <f t="shared" ref="D31:D38" si="11">+F31</f>
        <v>45259</v>
      </c>
      <c r="E31" s="39">
        <f t="shared" ref="E31:E38" si="12">+E30+C31</f>
        <v>45259</v>
      </c>
      <c r="F31" s="42">
        <f t="shared" ref="F31:F38" si="13">+E31</f>
        <v>45259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81">
        <f>+$O$14+O31</f>
        <v>1.1225000000000001</v>
      </c>
      <c r="J31" s="44">
        <f t="shared" ref="J31:J38" si="16">+I31/365*G31*L30</f>
        <v>28.293150684931511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28.293150684931511</v>
      </c>
      <c r="N31" s="47">
        <f t="shared" ref="N31:N38" si="19">+M31*$O$13/100</f>
        <v>84879452.054794535</v>
      </c>
      <c r="O31" s="76">
        <v>1.1225000000000001</v>
      </c>
      <c r="P31" s="1"/>
      <c r="Q31" s="16">
        <f t="shared" si="6"/>
        <v>0.25205479452054796</v>
      </c>
      <c r="R31" s="16">
        <f t="shared" si="7"/>
        <v>0.77936464634099456</v>
      </c>
      <c r="S31" s="17">
        <f t="shared" si="8"/>
        <v>28.293150684931511</v>
      </c>
      <c r="T31" s="77">
        <f t="shared" si="9"/>
        <v>22.050681377434117</v>
      </c>
      <c r="U31" s="17">
        <f t="shared" si="10"/>
        <v>5.55797996362723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1:142" s="12" customFormat="1" ht="12.75" customHeight="1" x14ac:dyDescent="0.2">
      <c r="A32" s="86">
        <f t="shared" ref="A32:A38" si="20">DATEDIF($B$30,B32,"m")</f>
        <v>6</v>
      </c>
      <c r="B32" s="30">
        <f t="shared" ref="B32:B38" si="21">EDATE(B31,3)</f>
        <v>45351</v>
      </c>
      <c r="C32" s="32">
        <f t="shared" ref="C32:C38" si="22">B32-B31</f>
        <v>92</v>
      </c>
      <c r="D32" s="30">
        <f t="shared" si="11"/>
        <v>45351</v>
      </c>
      <c r="E32" s="39">
        <f t="shared" si="12"/>
        <v>45351</v>
      </c>
      <c r="F32" s="42">
        <f t="shared" si="13"/>
        <v>45351</v>
      </c>
      <c r="G32" s="43">
        <f t="shared" si="14"/>
        <v>92</v>
      </c>
      <c r="H32" s="43">
        <f t="shared" si="15"/>
        <v>184</v>
      </c>
      <c r="I32" s="81">
        <f t="shared" ref="I32:I38" si="23">+$O$14+O32</f>
        <v>1.1225000000000001</v>
      </c>
      <c r="J32" s="44">
        <f t="shared" si="16"/>
        <v>28.293150684931511</v>
      </c>
      <c r="K32" s="45">
        <v>0</v>
      </c>
      <c r="L32" s="45">
        <f t="shared" si="17"/>
        <v>100</v>
      </c>
      <c r="M32" s="45">
        <f t="shared" si="18"/>
        <v>28.293150684931511</v>
      </c>
      <c r="N32" s="47">
        <f t="shared" si="19"/>
        <v>84879452.054794535</v>
      </c>
      <c r="O32" s="76">
        <f>+$O$31</f>
        <v>1.1225000000000001</v>
      </c>
      <c r="P32" s="1"/>
      <c r="Q32" s="16">
        <f t="shared" si="6"/>
        <v>0.50410958904109593</v>
      </c>
      <c r="R32" s="16">
        <f t="shared" si="7"/>
        <v>0.60740925196622353</v>
      </c>
      <c r="S32" s="17">
        <f t="shared" si="8"/>
        <v>28.293150684931511</v>
      </c>
      <c r="T32" s="77">
        <f t="shared" si="9"/>
        <v>17.185521493301895</v>
      </c>
      <c r="U32" s="17">
        <f t="shared" si="10"/>
        <v>8.6633861774453393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1:142" s="12" customFormat="1" ht="12.75" customHeight="1" x14ac:dyDescent="0.2">
      <c r="A33" s="86">
        <f t="shared" si="20"/>
        <v>9</v>
      </c>
      <c r="B33" s="30">
        <f t="shared" si="21"/>
        <v>45441</v>
      </c>
      <c r="C33" s="32">
        <f t="shared" si="22"/>
        <v>90</v>
      </c>
      <c r="D33" s="30">
        <f t="shared" si="11"/>
        <v>45441</v>
      </c>
      <c r="E33" s="39">
        <f t="shared" si="12"/>
        <v>45441</v>
      </c>
      <c r="F33" s="42">
        <f t="shared" si="13"/>
        <v>45441</v>
      </c>
      <c r="G33" s="43">
        <f t="shared" si="14"/>
        <v>90</v>
      </c>
      <c r="H33" s="43">
        <f t="shared" si="15"/>
        <v>274</v>
      </c>
      <c r="I33" s="81">
        <f t="shared" si="23"/>
        <v>1.1225000000000001</v>
      </c>
      <c r="J33" s="44">
        <f t="shared" si="16"/>
        <v>27.678082191780824</v>
      </c>
      <c r="K33" s="45">
        <v>0</v>
      </c>
      <c r="L33" s="45">
        <f t="shared" si="17"/>
        <v>100</v>
      </c>
      <c r="M33" s="45">
        <f t="shared" si="18"/>
        <v>27.678082191780824</v>
      </c>
      <c r="N33" s="47">
        <f t="shared" si="19"/>
        <v>83034246.575342476</v>
      </c>
      <c r="O33" s="76">
        <f t="shared" ref="O33:O38" si="24">+$O$31</f>
        <v>1.1225000000000001</v>
      </c>
      <c r="P33" s="1"/>
      <c r="Q33" s="16">
        <f t="shared" si="6"/>
        <v>0.75068493150684934</v>
      </c>
      <c r="R33" s="16">
        <f t="shared" si="7"/>
        <v>0.47596560167270652</v>
      </c>
      <c r="S33" s="17">
        <f t="shared" si="8"/>
        <v>27.678082191780824</v>
      </c>
      <c r="T33" s="77">
        <f t="shared" si="9"/>
        <v>13.173815043557584</v>
      </c>
      <c r="U33" s="17">
        <f t="shared" si="10"/>
        <v>9.889384443656926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1:142" s="12" customFormat="1" ht="12.75" customHeight="1" x14ac:dyDescent="0.2">
      <c r="A34" s="86">
        <f t="shared" si="20"/>
        <v>12</v>
      </c>
      <c r="B34" s="30">
        <f t="shared" si="21"/>
        <v>45533</v>
      </c>
      <c r="C34" s="32">
        <f t="shared" si="22"/>
        <v>92</v>
      </c>
      <c r="D34" s="30">
        <f t="shared" si="11"/>
        <v>45533</v>
      </c>
      <c r="E34" s="39">
        <f t="shared" si="12"/>
        <v>45533</v>
      </c>
      <c r="F34" s="42">
        <f t="shared" si="13"/>
        <v>45533</v>
      </c>
      <c r="G34" s="43">
        <f t="shared" si="14"/>
        <v>92</v>
      </c>
      <c r="H34" s="43">
        <f t="shared" si="15"/>
        <v>366</v>
      </c>
      <c r="I34" s="81">
        <f t="shared" si="23"/>
        <v>1.1225000000000001</v>
      </c>
      <c r="J34" s="44">
        <f t="shared" si="16"/>
        <v>28.293150684931511</v>
      </c>
      <c r="K34" s="45">
        <v>33</v>
      </c>
      <c r="L34" s="45">
        <f t="shared" si="17"/>
        <v>67</v>
      </c>
      <c r="M34" s="45">
        <f t="shared" si="18"/>
        <v>61.293150684931511</v>
      </c>
      <c r="N34" s="47">
        <f t="shared" si="19"/>
        <v>183879452.05479455</v>
      </c>
      <c r="O34" s="76">
        <f t="shared" si="24"/>
        <v>1.1225000000000001</v>
      </c>
      <c r="P34" s="1"/>
      <c r="Q34" s="16">
        <f t="shared" si="6"/>
        <v>1.0027397260273974</v>
      </c>
      <c r="R34" s="16">
        <f t="shared" si="7"/>
        <v>0.37095076281812756</v>
      </c>
      <c r="S34" s="17">
        <f t="shared" si="8"/>
        <v>61.293150684931511</v>
      </c>
      <c r="T34" s="77">
        <f t="shared" si="9"/>
        <v>22.73674100210178</v>
      </c>
      <c r="U34" s="17">
        <f t="shared" si="10"/>
        <v>22.799033443203431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1:142" s="12" customFormat="1" ht="12.75" customHeight="1" x14ac:dyDescent="0.2">
      <c r="A35" s="86">
        <f t="shared" si="20"/>
        <v>15</v>
      </c>
      <c r="B35" s="30">
        <f t="shared" si="21"/>
        <v>45625</v>
      </c>
      <c r="C35" s="32">
        <f t="shared" si="22"/>
        <v>92</v>
      </c>
      <c r="D35" s="30">
        <f t="shared" si="11"/>
        <v>45625</v>
      </c>
      <c r="E35" s="39">
        <f t="shared" si="12"/>
        <v>45625</v>
      </c>
      <c r="F35" s="42">
        <f t="shared" si="13"/>
        <v>45625</v>
      </c>
      <c r="G35" s="43">
        <f t="shared" si="14"/>
        <v>92</v>
      </c>
      <c r="H35" s="43">
        <f t="shared" si="15"/>
        <v>458</v>
      </c>
      <c r="I35" s="81">
        <f t="shared" si="23"/>
        <v>1.1225000000000001</v>
      </c>
      <c r="J35" s="44">
        <f t="shared" si="16"/>
        <v>18.956410958904112</v>
      </c>
      <c r="K35" s="45">
        <v>0</v>
      </c>
      <c r="L35" s="45">
        <f t="shared" si="17"/>
        <v>67</v>
      </c>
      <c r="M35" s="45">
        <f t="shared" si="18"/>
        <v>18.956410958904112</v>
      </c>
      <c r="N35" s="47">
        <f t="shared" si="19"/>
        <v>56869232.87671233</v>
      </c>
      <c r="O35" s="76">
        <f t="shared" si="24"/>
        <v>1.1225000000000001</v>
      </c>
      <c r="P35" s="1"/>
      <c r="Q35" s="16">
        <f t="shared" si="6"/>
        <v>1.2547945205479452</v>
      </c>
      <c r="R35" s="16">
        <f t="shared" si="7"/>
        <v>0.2891059100736722</v>
      </c>
      <c r="S35" s="17">
        <f t="shared" si="8"/>
        <v>18.956410958904112</v>
      </c>
      <c r="T35" s="77">
        <f t="shared" si="9"/>
        <v>5.4804104420045059</v>
      </c>
      <c r="U35" s="17">
        <f t="shared" si="10"/>
        <v>6.8767889929809964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1:142" s="12" customFormat="1" ht="12.75" customHeight="1" x14ac:dyDescent="0.2">
      <c r="A36" s="86">
        <f t="shared" si="20"/>
        <v>18</v>
      </c>
      <c r="B36" s="30">
        <f>EDATE(B35,3)+1</f>
        <v>45717</v>
      </c>
      <c r="C36" s="32">
        <f t="shared" si="22"/>
        <v>92</v>
      </c>
      <c r="D36" s="30">
        <f t="shared" si="11"/>
        <v>45717</v>
      </c>
      <c r="E36" s="39">
        <f t="shared" si="12"/>
        <v>45717</v>
      </c>
      <c r="F36" s="42">
        <f t="shared" si="13"/>
        <v>45717</v>
      </c>
      <c r="G36" s="43">
        <f t="shared" si="14"/>
        <v>92</v>
      </c>
      <c r="H36" s="43">
        <f t="shared" si="15"/>
        <v>550</v>
      </c>
      <c r="I36" s="81">
        <f t="shared" si="23"/>
        <v>1.1225000000000001</v>
      </c>
      <c r="J36" s="44">
        <f t="shared" si="16"/>
        <v>18.956410958904112</v>
      </c>
      <c r="K36" s="45">
        <v>33</v>
      </c>
      <c r="L36" s="45">
        <f t="shared" si="17"/>
        <v>34</v>
      </c>
      <c r="M36" s="45">
        <f t="shared" si="18"/>
        <v>51.956410958904115</v>
      </c>
      <c r="N36" s="47">
        <f t="shared" si="19"/>
        <v>155869232.87671235</v>
      </c>
      <c r="O36" s="76">
        <f t="shared" si="24"/>
        <v>1.1225000000000001</v>
      </c>
      <c r="P36" s="1"/>
      <c r="Q36" s="16">
        <f t="shared" si="6"/>
        <v>1.5068493150684932</v>
      </c>
      <c r="R36" s="16">
        <f t="shared" si="7"/>
        <v>0.22531892535965892</v>
      </c>
      <c r="S36" s="17">
        <f t="shared" si="8"/>
        <v>51.956410958904115</v>
      </c>
      <c r="T36" s="77">
        <f t="shared" si="9"/>
        <v>11.706762682805081</v>
      </c>
      <c r="U36" s="17">
        <f t="shared" si="10"/>
        <v>17.640327330254234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1:142" s="12" customFormat="1" ht="12.75" customHeight="1" x14ac:dyDescent="0.2">
      <c r="A37" s="86">
        <f t="shared" si="20"/>
        <v>21</v>
      </c>
      <c r="B37" s="30">
        <f>EDATE(B36,3)-3</f>
        <v>45806</v>
      </c>
      <c r="C37" s="32">
        <f t="shared" si="22"/>
        <v>89</v>
      </c>
      <c r="D37" s="30">
        <f t="shared" si="11"/>
        <v>45806</v>
      </c>
      <c r="E37" s="39">
        <f t="shared" si="12"/>
        <v>45806</v>
      </c>
      <c r="F37" s="42">
        <f t="shared" si="13"/>
        <v>45806</v>
      </c>
      <c r="G37" s="43">
        <f t="shared" si="14"/>
        <v>89</v>
      </c>
      <c r="H37" s="43">
        <f t="shared" si="15"/>
        <v>639</v>
      </c>
      <c r="I37" s="81">
        <f t="shared" si="23"/>
        <v>1.1225000000000001</v>
      </c>
      <c r="J37" s="44">
        <f t="shared" si="16"/>
        <v>9.3059863013698632</v>
      </c>
      <c r="K37" s="45">
        <v>0</v>
      </c>
      <c r="L37" s="45">
        <f t="shared" si="17"/>
        <v>34</v>
      </c>
      <c r="M37" s="45">
        <f t="shared" si="18"/>
        <v>9.3059863013698632</v>
      </c>
      <c r="N37" s="47">
        <f t="shared" si="19"/>
        <v>27917958.904109586</v>
      </c>
      <c r="O37" s="76">
        <f t="shared" si="24"/>
        <v>1.1225000000000001</v>
      </c>
      <c r="P37" s="1"/>
      <c r="Q37" s="16">
        <f t="shared" si="6"/>
        <v>1.7506849315068493</v>
      </c>
      <c r="R37" s="16">
        <f t="shared" si="7"/>
        <v>0.17703884480926635</v>
      </c>
      <c r="S37" s="17">
        <f t="shared" si="8"/>
        <v>9.3059863013698632</v>
      </c>
      <c r="T37" s="77">
        <f t="shared" si="9"/>
        <v>1.6475210646053777</v>
      </c>
      <c r="U37" s="17">
        <f t="shared" si="10"/>
        <v>2.8842903021447572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1:142" s="12" customFormat="1" ht="12.75" customHeight="1" x14ac:dyDescent="0.2">
      <c r="A38" s="86">
        <f t="shared" si="20"/>
        <v>24</v>
      </c>
      <c r="B38" s="30">
        <f t="shared" si="21"/>
        <v>45898</v>
      </c>
      <c r="C38" s="32">
        <f t="shared" si="22"/>
        <v>92</v>
      </c>
      <c r="D38" s="30">
        <f t="shared" si="11"/>
        <v>45898</v>
      </c>
      <c r="E38" s="39">
        <f t="shared" si="12"/>
        <v>45898</v>
      </c>
      <c r="F38" s="53">
        <f t="shared" si="13"/>
        <v>45898</v>
      </c>
      <c r="G38" s="48">
        <f t="shared" si="14"/>
        <v>92</v>
      </c>
      <c r="H38" s="48">
        <f t="shared" si="15"/>
        <v>731</v>
      </c>
      <c r="I38" s="82">
        <f t="shared" si="23"/>
        <v>1.1225000000000001</v>
      </c>
      <c r="J38" s="54">
        <f t="shared" si="16"/>
        <v>9.6196712328767138</v>
      </c>
      <c r="K38" s="55">
        <v>34</v>
      </c>
      <c r="L38" s="55">
        <f>+L36-K38</f>
        <v>0</v>
      </c>
      <c r="M38" s="55">
        <f t="shared" si="18"/>
        <v>43.619671232876712</v>
      </c>
      <c r="N38" s="56">
        <f t="shared" si="19"/>
        <v>130859013.69863014</v>
      </c>
      <c r="O38" s="78">
        <f t="shared" si="24"/>
        <v>1.1225000000000001</v>
      </c>
      <c r="P38" s="1"/>
      <c r="Q38" s="16">
        <f t="shared" si="6"/>
        <v>2.0027397260273974</v>
      </c>
      <c r="R38" s="16">
        <f t="shared" si="7"/>
        <v>0.1379778166733921</v>
      </c>
      <c r="S38" s="17">
        <f t="shared" si="8"/>
        <v>43.619671232876712</v>
      </c>
      <c r="T38" s="77">
        <f t="shared" si="9"/>
        <v>6.0185470007234976</v>
      </c>
      <c r="U38" s="17">
        <f t="shared" si="10"/>
        <v>12.053583171311992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1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6"/>
        <v>0</v>
      </c>
      <c r="R39" s="1">
        <f t="shared" si="7"/>
        <v>1</v>
      </c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1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508188041.09589058</v>
      </c>
      <c r="Q40" s="19"/>
      <c r="R40" s="19"/>
      <c r="S40" s="17"/>
      <c r="T40" s="17">
        <f>SUM(T31:T38)</f>
        <v>100.00000010653383</v>
      </c>
      <c r="U40" s="17">
        <f>SUM(U31:U38)</f>
        <v>86.364773824624905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1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1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1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1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1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1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1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1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1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17:142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17:142" x14ac:dyDescent="0.2"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17:142" x14ac:dyDescent="0.2"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17:142" x14ac:dyDescent="0.2"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17:142" x14ac:dyDescent="0.2"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17:142" x14ac:dyDescent="0.2"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17:142" x14ac:dyDescent="0.2"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17:142" x14ac:dyDescent="0.2"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17:142" x14ac:dyDescent="0.2"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17:142" x14ac:dyDescent="0.2"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17:142" x14ac:dyDescent="0.2"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17:142" x14ac:dyDescent="0.2"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17:142" x14ac:dyDescent="0.2"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17:142" x14ac:dyDescent="0.2"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17:142" x14ac:dyDescent="0.2"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17:142" x14ac:dyDescent="0.2"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17:142" x14ac:dyDescent="0.2"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17:142" x14ac:dyDescent="0.2"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17:142" x14ac:dyDescent="0.2"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17:142" x14ac:dyDescent="0.2"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17:142" x14ac:dyDescent="0.2"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17:142" x14ac:dyDescent="0.2"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17:142" x14ac:dyDescent="0.2"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17:142" x14ac:dyDescent="0.2"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17:142" x14ac:dyDescent="0.2"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17:142" x14ac:dyDescent="0.2"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17:142" x14ac:dyDescent="0.2"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17:142" x14ac:dyDescent="0.2"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17:142" x14ac:dyDescent="0.2"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17:142" x14ac:dyDescent="0.2"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17:142" x14ac:dyDescent="0.2"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17:142" x14ac:dyDescent="0.2"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17:142" x14ac:dyDescent="0.2"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17:142" x14ac:dyDescent="0.2"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17:142" x14ac:dyDescent="0.2"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17:142" x14ac:dyDescent="0.2"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17:142" x14ac:dyDescent="0.2"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17:142" x14ac:dyDescent="0.2"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17:142" x14ac:dyDescent="0.2"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17:142" x14ac:dyDescent="0.2"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17:142" x14ac:dyDescent="0.2"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17:142" x14ac:dyDescent="0.2"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17:142" x14ac:dyDescent="0.2"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17:142" x14ac:dyDescent="0.2"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17:142" x14ac:dyDescent="0.2"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17:142" x14ac:dyDescent="0.2"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17:142" x14ac:dyDescent="0.2"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17:142" x14ac:dyDescent="0.2"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17:142" x14ac:dyDescent="0.2"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17:142" x14ac:dyDescent="0.2"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17:142" x14ac:dyDescent="0.2"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17:142" x14ac:dyDescent="0.2"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17:142" x14ac:dyDescent="0.2"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17:142" x14ac:dyDescent="0.2"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17:142" x14ac:dyDescent="0.2"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17:142" x14ac:dyDescent="0.2"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17:142" x14ac:dyDescent="0.2"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17:142" x14ac:dyDescent="0.2"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17:142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1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1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1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1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</sheetData>
  <sheetProtection selectLockedCells="1"/>
  <mergeCells count="36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SERIE II (ARS)</vt:lpstr>
      <vt:lpstr>Feriados</vt:lpstr>
      <vt:lpstr>Hoja2</vt:lpstr>
      <vt:lpstr>'SERIE II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2023-08-23T18:52:17Z</dcterms:modified>
</cp:coreProperties>
</file>